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threadedComments/threadedComment2.xml" ContentType="application/vnd.ms-excel.threadedcomments+xml"/>
  <Override PartName="/xl/drawings/drawing2.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omments4.xml" ContentType="application/vnd.openxmlformats-officedocument.spreadsheetml.comments+xml"/>
  <Override PartName="/xl/threadedComments/threadedComment4.xml" ContentType="application/vnd.ms-excel.threadedcomments+xml"/>
  <Override PartName="/xl/drawings/drawing3.xml" ContentType="application/vnd.openxmlformats-officedocument.drawing+xml"/>
  <Override PartName="/xl/comments5.xml" ContentType="application/vnd.openxmlformats-officedocument.spreadsheetml.comments+xml"/>
  <Override PartName="/xl/threadedComments/threadedComment5.xml" ContentType="application/vnd.ms-excel.threadedcomment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fileSharing userName="Fatehbir Singh Sohu" algorithmName="SHA-512" hashValue="3FgD6f202Hs6iPdt8Osq417BpqcKOeOXJUVZ7SQSsv1Fxzfmtmjd0mdUZTxI+gDdl2FsQG6HGFXOPvKPhV1KfQ==" saltValue="1OCJS7n3JXJF0nN3499miw==" spinCount="100000"/>
  <workbookPr defaultThemeVersion="166925"/>
  <mc:AlternateContent xmlns:mc="http://schemas.openxmlformats.org/markup-compatibility/2006">
    <mc:Choice Requires="x15">
      <x15ac:absPath xmlns:x15ac="http://schemas.microsoft.com/office/spreadsheetml/2010/11/ac" url="https://d.docs.live.net/cc180b1f92416d9a/FINA 663 Assignment 2/"/>
    </mc:Choice>
  </mc:AlternateContent>
  <xr:revisionPtr revIDLastSave="0" documentId="10_ncr:10000_{18F7383E-75DE-1F4B-AEBE-D83C0C1C8FAE}" xr6:coauthVersionLast="47" xr6:coauthVersionMax="47" xr10:uidLastSave="{00000000-0000-0000-0000-000000000000}"/>
  <bookViews>
    <workbookView xWindow="0" yWindow="640" windowWidth="29400" windowHeight="17300" xr2:uid="{38311E0F-07E6-394D-BFE8-EB2C94273A8B}"/>
  </bookViews>
  <sheets>
    <sheet name="DFCFF Valuation" sheetId="5" r:id="rId1"/>
    <sheet name="Income Statement" sheetId="1" r:id="rId2"/>
    <sheet name="Balance Sheet" sheetId="2" r:id="rId3"/>
    <sheet name="Fixed Assets" sheetId="4" r:id="rId4"/>
    <sheet name="Revenue" sheetId="3" r:id="rId5"/>
    <sheet name="WACC &amp; TV growth rate" sheetId="8" r:id="rId6"/>
    <sheet name="Strengths &amp; Weaknesses" sheetId="7" r:id="rId7"/>
  </sheets>
  <calcPr calcId="191028"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D19" i="4" l="1"/>
  <c r="E19" i="4"/>
  <c r="F19" i="4"/>
  <c r="G19" i="4"/>
  <c r="C19" i="4"/>
  <c r="C22" i="4"/>
  <c r="C29" i="4"/>
  <c r="C42" i="4"/>
  <c r="C23" i="4"/>
  <c r="K6" i="3"/>
  <c r="K8" i="3"/>
  <c r="L6" i="3"/>
  <c r="F29" i="8"/>
  <c r="C24" i="5"/>
  <c r="F5" i="8" a="1"/>
  <c r="F5" i="8" s="1"/>
  <c r="C30" i="5" a="1"/>
  <c r="C30" i="5" s="1"/>
  <c r="C2" i="3"/>
  <c r="K5" i="3" s="1"/>
  <c r="H26" i="1"/>
  <c r="J26" i="1" s="1"/>
  <c r="C3" i="5"/>
  <c r="D21" i="5" s="1"/>
  <c r="E21" i="5" s="1"/>
  <c r="F21" i="5" s="1"/>
  <c r="G21" i="5" s="1"/>
  <c r="C34" i="5" a="1"/>
  <c r="C34" i="5" s="1"/>
  <c r="D12" i="3"/>
  <c r="E12" i="3"/>
  <c r="F12" i="3"/>
  <c r="G12" i="3"/>
  <c r="H12" i="3"/>
  <c r="H17" i="3"/>
  <c r="I18" i="3" s="1"/>
  <c r="D23" i="4"/>
  <c r="E23" i="4"/>
  <c r="F23" i="4"/>
  <c r="G23" i="4"/>
  <c r="C37" i="1"/>
  <c r="D37" i="1"/>
  <c r="E37" i="1"/>
  <c r="F37" i="1"/>
  <c r="G37" i="1"/>
  <c r="C38" i="1"/>
  <c r="D38" i="1"/>
  <c r="E38" i="1"/>
  <c r="F38" i="1"/>
  <c r="G38" i="1"/>
  <c r="C39" i="1"/>
  <c r="D39" i="1"/>
  <c r="E39" i="1"/>
  <c r="F39" i="1"/>
  <c r="G39" i="1"/>
  <c r="J18" i="3"/>
  <c r="K18" i="3"/>
  <c r="L18" i="3"/>
  <c r="C19" i="8"/>
  <c r="C22" i="8"/>
  <c r="C24" i="8" s="1"/>
  <c r="D19" i="8"/>
  <c r="D22" i="8" s="1"/>
  <c r="D24" i="8" s="1"/>
  <c r="E19" i="8"/>
  <c r="E22" i="8" s="1"/>
  <c r="E24" i="8" s="1"/>
  <c r="F19" i="8"/>
  <c r="F22" i="8" s="1"/>
  <c r="F24" i="8" s="1"/>
  <c r="G19" i="8"/>
  <c r="G22" i="8" s="1"/>
  <c r="G24" i="8" s="1"/>
  <c r="F27" i="8"/>
  <c r="E27" i="8"/>
  <c r="D27" i="8"/>
  <c r="C27" i="8"/>
  <c r="B27" i="8"/>
  <c r="F7" i="8"/>
  <c r="G45" i="1"/>
  <c r="I41" i="2"/>
  <c r="J41" i="2"/>
  <c r="L44" i="1"/>
  <c r="L13" i="1" s="1"/>
  <c r="I26" i="1"/>
  <c r="E113" i="2"/>
  <c r="F113" i="2"/>
  <c r="G113" i="2"/>
  <c r="H113" i="2"/>
  <c r="D113" i="2"/>
  <c r="E112" i="2"/>
  <c r="F112" i="2"/>
  <c r="G112" i="2"/>
  <c r="H112" i="2"/>
  <c r="D112" i="2"/>
  <c r="E111" i="2"/>
  <c r="F111" i="2"/>
  <c r="G111" i="2"/>
  <c r="H111" i="2"/>
  <c r="D111" i="2"/>
  <c r="E110" i="2"/>
  <c r="F110" i="2"/>
  <c r="G110" i="2"/>
  <c r="H110" i="2"/>
  <c r="D110" i="2"/>
  <c r="D83" i="2"/>
  <c r="F83" i="2"/>
  <c r="G83" i="2"/>
  <c r="H83" i="2"/>
  <c r="D94" i="2"/>
  <c r="E94" i="2"/>
  <c r="F94" i="2"/>
  <c r="G94" i="2"/>
  <c r="H94" i="2"/>
  <c r="G99" i="2"/>
  <c r="H99" i="2"/>
  <c r="D100" i="2"/>
  <c r="E100" i="2"/>
  <c r="H100" i="2"/>
  <c r="I30" i="2"/>
  <c r="G96" i="2"/>
  <c r="H96" i="2"/>
  <c r="F101" i="2"/>
  <c r="G101" i="2"/>
  <c r="H101" i="2"/>
  <c r="I38" i="2"/>
  <c r="I39" i="2"/>
  <c r="I42" i="2"/>
  <c r="J42" i="2" s="1"/>
  <c r="I15" i="2"/>
  <c r="I21" i="2"/>
  <c r="I22" i="2"/>
  <c r="I23" i="2"/>
  <c r="M30" i="2"/>
  <c r="M38" i="2"/>
  <c r="J39" i="2"/>
  <c r="K39" i="2" s="1"/>
  <c r="L39" i="2" s="1"/>
  <c r="M39" i="2" s="1"/>
  <c r="M42" i="2"/>
  <c r="M15" i="2"/>
  <c r="M21" i="2"/>
  <c r="M22" i="2"/>
  <c r="M23" i="2"/>
  <c r="L30" i="2"/>
  <c r="L38" i="2"/>
  <c r="L42" i="2"/>
  <c r="L15" i="2"/>
  <c r="L21" i="2"/>
  <c r="L22" i="2"/>
  <c r="L23" i="2"/>
  <c r="K30" i="2"/>
  <c r="K38" i="2"/>
  <c r="K15" i="2"/>
  <c r="K21" i="2"/>
  <c r="K22" i="2"/>
  <c r="K23" i="2"/>
  <c r="J30" i="2"/>
  <c r="J38" i="2"/>
  <c r="J15" i="2"/>
  <c r="J21" i="2"/>
  <c r="J22" i="2"/>
  <c r="J23" i="2"/>
  <c r="D17" i="2"/>
  <c r="E17" i="2"/>
  <c r="F17" i="2"/>
  <c r="G17" i="2"/>
  <c r="H17" i="2"/>
  <c r="E77" i="2"/>
  <c r="F77" i="2"/>
  <c r="G77" i="2"/>
  <c r="H77" i="2"/>
  <c r="D77" i="2"/>
  <c r="D35" i="2"/>
  <c r="D78" i="2" s="1"/>
  <c r="H34" i="1"/>
  <c r="D27" i="1"/>
  <c r="E27" i="1"/>
  <c r="F27" i="1"/>
  <c r="G27" i="1"/>
  <c r="C27" i="1"/>
  <c r="C27" i="5"/>
  <c r="G12" i="2"/>
  <c r="H12" i="2"/>
  <c r="D70" i="2"/>
  <c r="D71" i="2" s="1"/>
  <c r="F12" i="2"/>
  <c r="D12" i="2"/>
  <c r="E12" i="2"/>
  <c r="E64" i="2"/>
  <c r="F64" i="2"/>
  <c r="G64" i="2"/>
  <c r="H64" i="2"/>
  <c r="D64" i="2"/>
  <c r="L49" i="2"/>
  <c r="M49" i="2"/>
  <c r="K49" i="2"/>
  <c r="E73" i="2"/>
  <c r="F73" i="2"/>
  <c r="G73" i="2"/>
  <c r="H73" i="2"/>
  <c r="D73" i="2"/>
  <c r="E72" i="2"/>
  <c r="F72" i="2"/>
  <c r="G72" i="2"/>
  <c r="H72" i="2"/>
  <c r="D72" i="2"/>
  <c r="G41" i="1"/>
  <c r="G11" i="1" s="1"/>
  <c r="F66" i="2"/>
  <c r="G66" i="2"/>
  <c r="H66" i="2"/>
  <c r="E66" i="2"/>
  <c r="B70" i="2"/>
  <c r="E70" i="2"/>
  <c r="F70" i="2"/>
  <c r="G70" i="2"/>
  <c r="H70" i="2"/>
  <c r="E52" i="2"/>
  <c r="F52" i="2"/>
  <c r="D52" i="2"/>
  <c r="G60" i="2"/>
  <c r="I49" i="2" s="1"/>
  <c r="F60" i="2"/>
  <c r="D50" i="2"/>
  <c r="D54" i="2" s="1"/>
  <c r="E50" i="2"/>
  <c r="E54" i="2" s="1"/>
  <c r="F50" i="2"/>
  <c r="F54" i="2" s="1"/>
  <c r="G50" i="2"/>
  <c r="G54" i="2"/>
  <c r="H50" i="2"/>
  <c r="H54" i="2" s="1"/>
  <c r="F97" i="2"/>
  <c r="G97" i="2"/>
  <c r="H97" i="2"/>
  <c r="E97" i="2"/>
  <c r="E96" i="2"/>
  <c r="F96" i="2"/>
  <c r="D96" i="2"/>
  <c r="C104" i="2"/>
  <c r="D104" i="2"/>
  <c r="E104" i="2"/>
  <c r="F104" i="2"/>
  <c r="G104" i="2"/>
  <c r="D101" i="2"/>
  <c r="E101" i="2"/>
  <c r="D45" i="1"/>
  <c r="E45" i="1"/>
  <c r="F45" i="1"/>
  <c r="C45" i="1"/>
  <c r="B42" i="1"/>
  <c r="D12" i="1"/>
  <c r="C12" i="1"/>
  <c r="D41" i="1"/>
  <c r="D11" i="1" s="1"/>
  <c r="D8" i="1"/>
  <c r="D10" i="1" s="1"/>
  <c r="D13" i="1"/>
  <c r="E41" i="1"/>
  <c r="E11" i="1"/>
  <c r="E8" i="1"/>
  <c r="E10" i="1" s="1"/>
  <c r="E12" i="1"/>
  <c r="E13" i="1"/>
  <c r="B44" i="1"/>
  <c r="F41" i="1"/>
  <c r="F11" i="1" s="1"/>
  <c r="C41" i="1"/>
  <c r="C42" i="1" s="1"/>
  <c r="F12" i="1"/>
  <c r="I43" i="1"/>
  <c r="I12" i="1"/>
  <c r="F13" i="1"/>
  <c r="C13" i="1"/>
  <c r="C18" i="1" s="1"/>
  <c r="G13" i="1"/>
  <c r="B41" i="1"/>
  <c r="B43" i="1"/>
  <c r="F100" i="2"/>
  <c r="G100" i="2"/>
  <c r="D99" i="2"/>
  <c r="E99" i="2"/>
  <c r="F99" i="2"/>
  <c r="E98" i="2"/>
  <c r="F98" i="2"/>
  <c r="G98" i="2"/>
  <c r="H98" i="2"/>
  <c r="D98" i="2"/>
  <c r="E95" i="2"/>
  <c r="F95" i="2"/>
  <c r="G95" i="2"/>
  <c r="H95" i="2"/>
  <c r="D86" i="2"/>
  <c r="E86" i="2"/>
  <c r="F86" i="2"/>
  <c r="G86" i="2"/>
  <c r="H86" i="2"/>
  <c r="D87" i="2"/>
  <c r="E87" i="2"/>
  <c r="F87" i="2"/>
  <c r="G87" i="2"/>
  <c r="H87" i="2"/>
  <c r="D88" i="2"/>
  <c r="E88" i="2"/>
  <c r="F88" i="2"/>
  <c r="G88" i="2"/>
  <c r="H88" i="2"/>
  <c r="D89" i="2"/>
  <c r="E89" i="2"/>
  <c r="F89" i="2"/>
  <c r="G89" i="2"/>
  <c r="H89" i="2"/>
  <c r="D90" i="2"/>
  <c r="E90" i="2"/>
  <c r="F90" i="2"/>
  <c r="G90" i="2"/>
  <c r="H90" i="2"/>
  <c r="D91" i="2"/>
  <c r="E91" i="2"/>
  <c r="F91" i="2"/>
  <c r="G91" i="2"/>
  <c r="H91" i="2"/>
  <c r="D92" i="2"/>
  <c r="E92" i="2"/>
  <c r="F92" i="2"/>
  <c r="G92" i="2"/>
  <c r="H92" i="2"/>
  <c r="D93" i="2"/>
  <c r="E93" i="2"/>
  <c r="F93" i="2"/>
  <c r="G93" i="2"/>
  <c r="H93" i="2"/>
  <c r="E85" i="2"/>
  <c r="F85" i="2"/>
  <c r="G85" i="2"/>
  <c r="H85" i="2"/>
  <c r="D85" i="2"/>
  <c r="E83" i="2"/>
  <c r="D41" i="4"/>
  <c r="E41" i="4"/>
  <c r="F41" i="4"/>
  <c r="G41" i="4"/>
  <c r="C41" i="4"/>
  <c r="H18" i="2"/>
  <c r="G18" i="2"/>
  <c r="F18" i="2"/>
  <c r="E18" i="2"/>
  <c r="D18" i="2"/>
  <c r="E16" i="2"/>
  <c r="F16" i="2"/>
  <c r="G16" i="2"/>
  <c r="H16" i="2"/>
  <c r="I16" i="2"/>
  <c r="J16" i="2" s="1"/>
  <c r="D16" i="2"/>
  <c r="E24" i="2"/>
  <c r="F24" i="2"/>
  <c r="G24" i="2"/>
  <c r="H24" i="2"/>
  <c r="D24" i="2"/>
  <c r="D25" i="2" s="1"/>
  <c r="D39" i="4"/>
  <c r="C39" i="4" s="1"/>
  <c r="E76" i="2"/>
  <c r="F76" i="2"/>
  <c r="G76" i="2"/>
  <c r="H76" i="2"/>
  <c r="D76" i="2"/>
  <c r="H48" i="1"/>
  <c r="J48" i="1" s="1"/>
  <c r="J15" i="1" s="1"/>
  <c r="H47" i="1"/>
  <c r="H14" i="1" s="1"/>
  <c r="G8" i="1"/>
  <c r="G54" i="1" s="1"/>
  <c r="D38" i="4"/>
  <c r="C38" i="4" s="1"/>
  <c r="D37" i="4"/>
  <c r="C37" i="4" s="1"/>
  <c r="D36" i="4"/>
  <c r="C36" i="4" s="1"/>
  <c r="D32" i="4"/>
  <c r="E32" i="4"/>
  <c r="F32" i="4"/>
  <c r="G32" i="4"/>
  <c r="C32" i="4"/>
  <c r="D31" i="4"/>
  <c r="E31" i="4"/>
  <c r="F31" i="4"/>
  <c r="G31" i="4"/>
  <c r="C31" i="4"/>
  <c r="D30" i="4"/>
  <c r="E30" i="4"/>
  <c r="F30" i="4"/>
  <c r="G30" i="4"/>
  <c r="C30" i="4"/>
  <c r="G29" i="4"/>
  <c r="F29" i="4"/>
  <c r="F33" i="4" s="1"/>
  <c r="E29" i="4"/>
  <c r="E33" i="4" s="1"/>
  <c r="D29" i="4"/>
  <c r="L50" i="1"/>
  <c r="C8" i="4"/>
  <c r="C9" i="4" s="1"/>
  <c r="D8" i="4"/>
  <c r="D9" i="4" s="1"/>
  <c r="E8" i="4"/>
  <c r="E9" i="4" s="1"/>
  <c r="F8" i="4"/>
  <c r="F9" i="4" s="1"/>
  <c r="G8" i="4"/>
  <c r="G9" i="4" s="1"/>
  <c r="I48" i="2"/>
  <c r="E42" i="1"/>
  <c r="L43" i="1"/>
  <c r="L12" i="1" s="1"/>
  <c r="H43" i="1"/>
  <c r="H12" i="1"/>
  <c r="K43" i="1"/>
  <c r="K12" i="1" s="1"/>
  <c r="J43" i="1"/>
  <c r="J12" i="1" s="1"/>
  <c r="G12" i="1"/>
  <c r="K48" i="1"/>
  <c r="K15" i="1" s="1"/>
  <c r="H15" i="1"/>
  <c r="G61" i="2"/>
  <c r="G52" i="2" s="1"/>
  <c r="H61" i="2"/>
  <c r="D65" i="2" s="1"/>
  <c r="G78" i="2"/>
  <c r="H78" i="2"/>
  <c r="B51" i="1"/>
  <c r="B50" i="1"/>
  <c r="B56" i="1"/>
  <c r="B57" i="1"/>
  <c r="B55" i="1"/>
  <c r="B54" i="1"/>
  <c r="B39" i="1"/>
  <c r="B37" i="1"/>
  <c r="D44" i="2"/>
  <c r="E35" i="2"/>
  <c r="E78" i="2"/>
  <c r="F35" i="2"/>
  <c r="F78" i="2"/>
  <c r="E44" i="2"/>
  <c r="E45" i="2" s="1"/>
  <c r="F44" i="2"/>
  <c r="F45" i="2" s="1"/>
  <c r="E54" i="1"/>
  <c r="F8" i="1"/>
  <c r="F54" i="1" s="1"/>
  <c r="G10" i="1"/>
  <c r="G55" i="1" s="1"/>
  <c r="C8" i="1"/>
  <c r="C54" i="1" s="1"/>
  <c r="C10" i="1"/>
  <c r="C55" i="1" s="1"/>
  <c r="H53" i="1"/>
  <c r="I53" i="1"/>
  <c r="J53" i="1"/>
  <c r="K53" i="1"/>
  <c r="C53" i="1"/>
  <c r="I50" i="1"/>
  <c r="J50" i="1"/>
  <c r="K50" i="1"/>
  <c r="H50" i="1"/>
  <c r="H36" i="1"/>
  <c r="B33" i="1"/>
  <c r="C33" i="1"/>
  <c r="H4" i="3"/>
  <c r="G4" i="3"/>
  <c r="F4" i="3"/>
  <c r="G5" i="3"/>
  <c r="E4" i="3"/>
  <c r="F5" i="3" s="1"/>
  <c r="D4" i="3"/>
  <c r="D5" i="3" s="1"/>
  <c r="G17" i="3"/>
  <c r="G18" i="3" s="1"/>
  <c r="F17" i="3"/>
  <c r="E17" i="3"/>
  <c r="E18" i="3" s="1"/>
  <c r="D17" i="3"/>
  <c r="D18" i="3"/>
  <c r="H13" i="3"/>
  <c r="F13" i="3"/>
  <c r="H22" i="3"/>
  <c r="G22" i="3"/>
  <c r="G23" i="3" s="1"/>
  <c r="F22" i="3"/>
  <c r="E22" i="3"/>
  <c r="D22" i="3"/>
  <c r="E23" i="3"/>
  <c r="D23" i="3"/>
  <c r="H32" i="1"/>
  <c r="I32" i="1"/>
  <c r="J32" i="1"/>
  <c r="K32" i="1"/>
  <c r="C32" i="1"/>
  <c r="E33" i="1"/>
  <c r="F33" i="1"/>
  <c r="G33" i="1"/>
  <c r="D33" i="1"/>
  <c r="H52" i="2"/>
  <c r="D13" i="3"/>
  <c r="D45" i="2"/>
  <c r="E25" i="2"/>
  <c r="H5" i="3"/>
  <c r="E13" i="3"/>
  <c r="D4" i="1"/>
  <c r="D53" i="1"/>
  <c r="E4" i="1"/>
  <c r="F4" i="1" s="1"/>
  <c r="E53" i="1"/>
  <c r="D32" i="1"/>
  <c r="C11" i="1"/>
  <c r="I47" i="1"/>
  <c r="I14" i="1" s="1"/>
  <c r="G13" i="3"/>
  <c r="F23" i="3"/>
  <c r="L34" i="1"/>
  <c r="L47" i="1"/>
  <c r="L14" i="1" s="1"/>
  <c r="I34" i="1"/>
  <c r="C28" i="5"/>
  <c r="L36" i="1"/>
  <c r="H16" i="1"/>
  <c r="I16" i="1"/>
  <c r="J16" i="1" s="1"/>
  <c r="K16" i="1" s="1"/>
  <c r="J5" i="3" l="1"/>
  <c r="F32" i="1"/>
  <c r="G4" i="1"/>
  <c r="G53" i="1" s="1"/>
  <c r="F53" i="1"/>
  <c r="C56" i="1"/>
  <c r="C50" i="1"/>
  <c r="F42" i="1"/>
  <c r="H42" i="1" s="1"/>
  <c r="I50" i="2"/>
  <c r="J48" i="2" s="1"/>
  <c r="H37" i="1"/>
  <c r="I37" i="1" s="1"/>
  <c r="K37" i="1" s="1"/>
  <c r="F25" i="2"/>
  <c r="H23" i="3"/>
  <c r="K42" i="2"/>
  <c r="H44" i="1"/>
  <c r="H38" i="1"/>
  <c r="I38" i="1" s="1"/>
  <c r="D42" i="1"/>
  <c r="C25" i="3"/>
  <c r="I22" i="3" s="1"/>
  <c r="I23" i="3" s="1"/>
  <c r="E32" i="1"/>
  <c r="C26" i="3"/>
  <c r="G33" i="4"/>
  <c r="D33" i="4"/>
  <c r="F55" i="2"/>
  <c r="H18" i="3"/>
  <c r="D54" i="1"/>
  <c r="H54" i="1" s="1"/>
  <c r="L16" i="2"/>
  <c r="G18" i="1"/>
  <c r="G56" i="1" s="1"/>
  <c r="D81" i="2"/>
  <c r="L26" i="1"/>
  <c r="D55" i="2"/>
  <c r="D80" i="2"/>
  <c r="K26" i="1"/>
  <c r="K47" i="1"/>
  <c r="K14" i="1" s="1"/>
  <c r="F18" i="3"/>
  <c r="I17" i="2"/>
  <c r="J17" i="2" s="1"/>
  <c r="H39" i="1"/>
  <c r="F42" i="4"/>
  <c r="G42" i="4"/>
  <c r="E42" i="4"/>
  <c r="H45" i="1"/>
  <c r="I44" i="1" s="1"/>
  <c r="H13" i="1"/>
  <c r="J38" i="1"/>
  <c r="K38" i="1"/>
  <c r="L38" i="1"/>
  <c r="D55" i="1"/>
  <c r="D18" i="1"/>
  <c r="C28" i="3"/>
  <c r="M22" i="3"/>
  <c r="G50" i="1"/>
  <c r="G51" i="1"/>
  <c r="G21" i="1"/>
  <c r="G22" i="1"/>
  <c r="C43" i="4"/>
  <c r="E18" i="1"/>
  <c r="E55" i="1"/>
  <c r="E55" i="2"/>
  <c r="F13" i="8"/>
  <c r="D42" i="4"/>
  <c r="L17" i="2"/>
  <c r="M17" i="2"/>
  <c r="K17" i="2"/>
  <c r="J39" i="1"/>
  <c r="L39" i="1" s="1"/>
  <c r="I39" i="1"/>
  <c r="K39" i="1" s="1"/>
  <c r="K16" i="2"/>
  <c r="I48" i="1"/>
  <c r="J47" i="1"/>
  <c r="J14" i="1" s="1"/>
  <c r="F10" i="1"/>
  <c r="C21" i="4"/>
  <c r="I12" i="3"/>
  <c r="J12" i="3" s="1"/>
  <c r="J13" i="3" s="1"/>
  <c r="J7" i="3" s="1"/>
  <c r="I35" i="1" s="1"/>
  <c r="I33" i="1" s="1"/>
  <c r="E5" i="3"/>
  <c r="G42" i="1"/>
  <c r="M16" i="2"/>
  <c r="G32" i="1"/>
  <c r="C21" i="1"/>
  <c r="C33" i="4"/>
  <c r="C51" i="1"/>
  <c r="C27" i="3"/>
  <c r="I36" i="1"/>
  <c r="I5" i="3"/>
  <c r="I4" i="3" s="1"/>
  <c r="J36" i="1"/>
  <c r="J33" i="1" s="1"/>
  <c r="K36" i="1"/>
  <c r="J34" i="1"/>
  <c r="K34" i="1"/>
  <c r="M5" i="3"/>
  <c r="F15" i="8"/>
  <c r="F12" i="8" s="1"/>
  <c r="C21" i="5"/>
  <c r="I54" i="1" l="1"/>
  <c r="K54" i="1" s="1"/>
  <c r="J54" i="1"/>
  <c r="L54" i="1" s="1"/>
  <c r="J37" i="1"/>
  <c r="L37" i="1" s="1"/>
  <c r="J42" i="1"/>
  <c r="J50" i="2"/>
  <c r="I42" i="1"/>
  <c r="K22" i="3"/>
  <c r="K23" i="3" s="1"/>
  <c r="K7" i="3" s="1"/>
  <c r="K50" i="2"/>
  <c r="M50" i="2"/>
  <c r="L50" i="2"/>
  <c r="L22" i="3"/>
  <c r="M23" i="3" s="1"/>
  <c r="K42" i="1"/>
  <c r="J22" i="3"/>
  <c r="J23" i="3" s="1"/>
  <c r="I13" i="3"/>
  <c r="I7" i="3" s="1"/>
  <c r="H35" i="1" s="1"/>
  <c r="H33" i="1" s="1"/>
  <c r="H5" i="1" s="1"/>
  <c r="L48" i="2"/>
  <c r="K48" i="2"/>
  <c r="M48" i="2"/>
  <c r="L48" i="1"/>
  <c r="L15" i="1" s="1"/>
  <c r="I15" i="1"/>
  <c r="H67" i="2"/>
  <c r="H51" i="2"/>
  <c r="G57" i="1"/>
  <c r="I13" i="1"/>
  <c r="I45" i="1"/>
  <c r="J44" i="1" s="1"/>
  <c r="F18" i="1"/>
  <c r="F55" i="1"/>
  <c r="L42" i="1"/>
  <c r="E22" i="1"/>
  <c r="E50" i="1"/>
  <c r="E51" i="1"/>
  <c r="E56" i="1"/>
  <c r="E21" i="1"/>
  <c r="K12" i="3"/>
  <c r="K13" i="3" s="1"/>
  <c r="D21" i="4"/>
  <c r="C24" i="4"/>
  <c r="D19" i="2"/>
  <c r="D67" i="2"/>
  <c r="D51" i="2"/>
  <c r="C57" i="1"/>
  <c r="D22" i="1"/>
  <c r="D51" i="1"/>
  <c r="D50" i="1"/>
  <c r="D56" i="1"/>
  <c r="D21" i="1"/>
  <c r="L12" i="3"/>
  <c r="L13" i="3" s="1"/>
  <c r="J4" i="3"/>
  <c r="K4" i="3" s="1"/>
  <c r="K33" i="1"/>
  <c r="L5" i="3"/>
  <c r="F6" i="8"/>
  <c r="F16" i="8" s="1"/>
  <c r="C23" i="5" s="1"/>
  <c r="I31" i="2" l="1"/>
  <c r="I40" i="2"/>
  <c r="I8" i="2"/>
  <c r="I43" i="2"/>
  <c r="I34" i="2"/>
  <c r="I33" i="2"/>
  <c r="I9" i="2"/>
  <c r="H41" i="1"/>
  <c r="H11" i="1" s="1"/>
  <c r="I10" i="2"/>
  <c r="H9" i="1"/>
  <c r="I5" i="1"/>
  <c r="I9" i="1" s="1"/>
  <c r="L23" i="3"/>
  <c r="L7" i="3" s="1"/>
  <c r="K35" i="1" s="1"/>
  <c r="I11" i="2"/>
  <c r="I29" i="2"/>
  <c r="H6" i="1"/>
  <c r="H7" i="1" s="1"/>
  <c r="C8" i="5"/>
  <c r="E21" i="4"/>
  <c r="E19" i="2"/>
  <c r="D22" i="4"/>
  <c r="D24" i="4" s="1"/>
  <c r="J35" i="1"/>
  <c r="F67" i="2"/>
  <c r="E57" i="1"/>
  <c r="F51" i="2"/>
  <c r="F50" i="1"/>
  <c r="F22" i="1"/>
  <c r="F56" i="1"/>
  <c r="F51" i="1"/>
  <c r="F21" i="1"/>
  <c r="J13" i="1"/>
  <c r="J45" i="1"/>
  <c r="K44" i="1" s="1"/>
  <c r="K13" i="1" s="1"/>
  <c r="E67" i="2"/>
  <c r="E51" i="2"/>
  <c r="D57" i="1"/>
  <c r="M12" i="3"/>
  <c r="M13" i="3" s="1"/>
  <c r="M7" i="3" s="1"/>
  <c r="L35" i="1" s="1"/>
  <c r="L33" i="1" s="1"/>
  <c r="L4" i="3"/>
  <c r="M4" i="3" s="1"/>
  <c r="I44" i="2" l="1"/>
  <c r="I35" i="2"/>
  <c r="C106" i="2" s="1"/>
  <c r="J5" i="1"/>
  <c r="J9" i="1" s="1"/>
  <c r="J31" i="2"/>
  <c r="J11" i="2"/>
  <c r="I6" i="1"/>
  <c r="I7" i="1" s="1"/>
  <c r="J9" i="2"/>
  <c r="J34" i="2"/>
  <c r="H8" i="1"/>
  <c r="H10" i="1" s="1"/>
  <c r="C9" i="5" s="1"/>
  <c r="C10" i="5" s="1"/>
  <c r="C11" i="5" s="1"/>
  <c r="C105" i="2"/>
  <c r="J33" i="2"/>
  <c r="J29" i="2"/>
  <c r="J8" i="2"/>
  <c r="I41" i="1"/>
  <c r="I11" i="1" s="1"/>
  <c r="J40" i="2"/>
  <c r="D8" i="5"/>
  <c r="J43" i="2"/>
  <c r="J10" i="2"/>
  <c r="G51" i="2"/>
  <c r="G67" i="2"/>
  <c r="F57" i="1"/>
  <c r="D68" i="2"/>
  <c r="F19" i="2"/>
  <c r="E22" i="4"/>
  <c r="E24" i="4" s="1"/>
  <c r="F21" i="4"/>
  <c r="K8" i="2" l="1"/>
  <c r="K29" i="2"/>
  <c r="K9" i="2"/>
  <c r="E8" i="5"/>
  <c r="I45" i="2"/>
  <c r="C107" i="2"/>
  <c r="C14" i="5" s="1"/>
  <c r="K40" i="2"/>
  <c r="K10" i="2"/>
  <c r="K5" i="1"/>
  <c r="K9" i="1" s="1"/>
  <c r="D105" i="2"/>
  <c r="K33" i="2"/>
  <c r="J41" i="1"/>
  <c r="J11" i="1" s="1"/>
  <c r="K34" i="2"/>
  <c r="J35" i="2"/>
  <c r="K43" i="2"/>
  <c r="K31" i="2"/>
  <c r="J6" i="1"/>
  <c r="J7" i="1" s="1"/>
  <c r="K11" i="2"/>
  <c r="J44" i="2"/>
  <c r="I8" i="1"/>
  <c r="I10" i="1" s="1"/>
  <c r="D9" i="5" s="1"/>
  <c r="D10" i="5" s="1"/>
  <c r="D11" i="5" s="1"/>
  <c r="H55" i="1"/>
  <c r="H18" i="1"/>
  <c r="H56" i="1" s="1"/>
  <c r="G19" i="2"/>
  <c r="F22" i="4"/>
  <c r="F24" i="4" s="1"/>
  <c r="G21" i="4"/>
  <c r="E105" i="2" l="1"/>
  <c r="K6" i="1"/>
  <c r="K7" i="1" s="1"/>
  <c r="L31" i="2"/>
  <c r="L40" i="2"/>
  <c r="L5" i="1"/>
  <c r="L9" i="1" s="1"/>
  <c r="K44" i="2"/>
  <c r="L29" i="2"/>
  <c r="L10" i="2"/>
  <c r="L43" i="2"/>
  <c r="L11" i="2"/>
  <c r="L33" i="2"/>
  <c r="K41" i="1"/>
  <c r="K11" i="1" s="1"/>
  <c r="J45" i="2"/>
  <c r="L8" i="2"/>
  <c r="L34" i="2"/>
  <c r="F8" i="5"/>
  <c r="L9" i="2"/>
  <c r="D106" i="2"/>
  <c r="D107" i="2" s="1"/>
  <c r="D14" i="5" s="1"/>
  <c r="K35" i="2"/>
  <c r="J8" i="1"/>
  <c r="J10" i="1" s="1"/>
  <c r="E9" i="5" s="1"/>
  <c r="E10" i="5" s="1"/>
  <c r="E11" i="5" s="1"/>
  <c r="I18" i="1"/>
  <c r="I19" i="1" s="1"/>
  <c r="I22" i="1" s="1"/>
  <c r="I55" i="1"/>
  <c r="H51" i="1"/>
  <c r="H19" i="1"/>
  <c r="H22" i="1" s="1"/>
  <c r="G22" i="4"/>
  <c r="G24" i="4" s="1"/>
  <c r="C25" i="4" s="1"/>
  <c r="I20" i="2" s="1"/>
  <c r="H19" i="2"/>
  <c r="K8" i="1" l="1"/>
  <c r="K10" i="1" s="1"/>
  <c r="F9" i="5" s="1"/>
  <c r="F10" i="5" s="1"/>
  <c r="F11" i="5" s="1"/>
  <c r="L44" i="2"/>
  <c r="L41" i="1"/>
  <c r="L11" i="1" s="1"/>
  <c r="G8" i="5"/>
  <c r="M10" i="2"/>
  <c r="M8" i="2"/>
  <c r="M43" i="2"/>
  <c r="M29" i="2"/>
  <c r="M31" i="2"/>
  <c r="M11" i="2"/>
  <c r="M9" i="2"/>
  <c r="K45" i="2"/>
  <c r="F105" i="2"/>
  <c r="L6" i="1"/>
  <c r="L7" i="1" s="1"/>
  <c r="M34" i="2"/>
  <c r="M33" i="2"/>
  <c r="M40" i="2"/>
  <c r="L35" i="2"/>
  <c r="I56" i="1"/>
  <c r="E106" i="2"/>
  <c r="E107" i="2" s="1"/>
  <c r="E14" i="5" s="1"/>
  <c r="J55" i="1"/>
  <c r="I51" i="1"/>
  <c r="J18" i="1"/>
  <c r="J51" i="1" s="1"/>
  <c r="I21" i="1"/>
  <c r="J51" i="2" s="1"/>
  <c r="H21" i="1"/>
  <c r="H57" i="1" s="1"/>
  <c r="J20" i="2"/>
  <c r="K20" i="2"/>
  <c r="L20" i="2"/>
  <c r="M20" i="2"/>
  <c r="J24" i="2" l="1"/>
  <c r="I24" i="2"/>
  <c r="K18" i="1"/>
  <c r="K56" i="1" s="1"/>
  <c r="L45" i="2"/>
  <c r="K55" i="1"/>
  <c r="M44" i="2"/>
  <c r="G105" i="2"/>
  <c r="L8" i="1"/>
  <c r="L10" i="1" s="1"/>
  <c r="L55" i="1" s="1"/>
  <c r="F106" i="2"/>
  <c r="F107" i="2" s="1"/>
  <c r="F14" i="5" s="1"/>
  <c r="M35" i="2"/>
  <c r="G106" i="2" s="1"/>
  <c r="J19" i="1"/>
  <c r="J22" i="1" s="1"/>
  <c r="J56" i="1"/>
  <c r="I24" i="1"/>
  <c r="I25" i="1" s="1"/>
  <c r="I57" i="1"/>
  <c r="H24" i="1"/>
  <c r="H25" i="1" s="1"/>
  <c r="I51" i="2"/>
  <c r="I52" i="2" s="1"/>
  <c r="J52" i="2" s="1"/>
  <c r="K52" i="2" s="1"/>
  <c r="L52" i="2" s="1"/>
  <c r="M52" i="2" s="1"/>
  <c r="M24" i="2"/>
  <c r="L24" i="2"/>
  <c r="K24" i="2"/>
  <c r="K19" i="1" l="1"/>
  <c r="K22" i="1" s="1"/>
  <c r="K51" i="1"/>
  <c r="M45" i="2"/>
  <c r="G107" i="2"/>
  <c r="G14" i="5" s="1"/>
  <c r="G9" i="5"/>
  <c r="G10" i="5" s="1"/>
  <c r="G11" i="5" s="1"/>
  <c r="J21" i="1"/>
  <c r="J24" i="1" s="1"/>
  <c r="J25" i="1" s="1"/>
  <c r="L18" i="1"/>
  <c r="L51" i="1" s="1"/>
  <c r="I53" i="2"/>
  <c r="J53" i="2" s="1"/>
  <c r="J54" i="2" s="1"/>
  <c r="J55" i="2" s="1"/>
  <c r="J7" i="2" s="1"/>
  <c r="J12" i="2" s="1"/>
  <c r="J25" i="2" s="1"/>
  <c r="J56" i="2" s="1"/>
  <c r="K21" i="1" l="1"/>
  <c r="K24" i="1" s="1"/>
  <c r="K25" i="1" s="1"/>
  <c r="L19" i="1"/>
  <c r="L22" i="1" s="1"/>
  <c r="K51" i="2"/>
  <c r="K53" i="2" s="1"/>
  <c r="K54" i="2" s="1"/>
  <c r="K55" i="2" s="1"/>
  <c r="K7" i="2" s="1"/>
  <c r="K12" i="2" s="1"/>
  <c r="K25" i="2" s="1"/>
  <c r="K56" i="2" s="1"/>
  <c r="I54" i="2"/>
  <c r="I55" i="2" s="1"/>
  <c r="L56" i="1"/>
  <c r="J57" i="1"/>
  <c r="I7" i="2" l="1"/>
  <c r="I12" i="2" s="1"/>
  <c r="I25" i="2" s="1"/>
  <c r="I56" i="2" s="1"/>
  <c r="L51" i="2"/>
  <c r="L53" i="2" s="1"/>
  <c r="L54" i="2" s="1"/>
  <c r="L55" i="2" s="1"/>
  <c r="L7" i="2" s="1"/>
  <c r="L12" i="2" s="1"/>
  <c r="L25" i="2" s="1"/>
  <c r="L56" i="2" s="1"/>
  <c r="K57" i="1"/>
  <c r="L21" i="1"/>
  <c r="M51" i="2" s="1"/>
  <c r="M53" i="2" l="1"/>
  <c r="M54" i="2" s="1"/>
  <c r="M55" i="2" s="1"/>
  <c r="M7" i="2" s="1"/>
  <c r="M12" i="2" s="1"/>
  <c r="M25" i="2" s="1"/>
  <c r="M56" i="2" s="1"/>
  <c r="L24" i="1"/>
  <c r="L25" i="1" s="1"/>
  <c r="L57" i="1"/>
  <c r="I18" i="2" l="1"/>
  <c r="J18" i="2"/>
  <c r="K18" i="2"/>
  <c r="L18" i="2"/>
  <c r="M18" i="2"/>
  <c r="I19" i="2"/>
  <c r="J19" i="2"/>
  <c r="K19" i="2"/>
  <c r="L19" i="2"/>
  <c r="M19" i="2"/>
  <c r="C12" i="5"/>
  <c r="D12" i="5"/>
  <c r="E12" i="5"/>
  <c r="F12" i="5"/>
  <c r="G12" i="5"/>
  <c r="C13" i="5"/>
  <c r="D13" i="5"/>
  <c r="E13" i="5"/>
  <c r="F13" i="5"/>
  <c r="G13" i="5"/>
  <c r="C15" i="5"/>
  <c r="D15" i="5"/>
  <c r="E15" i="5"/>
  <c r="F15" i="5"/>
  <c r="G15" i="5"/>
  <c r="G16" i="5"/>
  <c r="C17" i="5"/>
  <c r="D17" i="5"/>
  <c r="E17" i="5"/>
  <c r="F17" i="5"/>
  <c r="G17" i="5"/>
  <c r="C18" i="5"/>
  <c r="D18" i="5"/>
  <c r="E18" i="5"/>
  <c r="F18" i="5"/>
  <c r="G18" i="5"/>
  <c r="C25" i="5"/>
  <c r="C26" i="5"/>
  <c r="C29" i="5"/>
  <c r="C33" i="5"/>
  <c r="C36" i="5"/>
  <c r="C37" i="5" a="1"/>
  <c r="C37"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tc={E86EA363-D5F1-B642-A5E8-A6EE2C4BE740}</author>
    <author>tc={30E9956D-681F-6249-A1B9-80575B9F3A15}</author>
    <author>tc={B1AE5CB2-95BB-E04D-A4A1-13F876F88FE3}</author>
    <author>tc={FD856522-A225-1446-B7A7-F2EFA789BBA0}</author>
  </authors>
  <commentList>
    <comment ref="B13" authorId="0" shapeId="0" xr:uid="{E86EA363-D5F1-B642-A5E8-A6EE2C4BE740}">
      <text>
        <t>[Threaded comment]
Your version of Excel allows you to read this threaded comment; however, any edits to it will get removed if the file is opened in a newer version of Excel. Learn more: https://go.microsoft.com/fwlink/?linkid=870924
Comment:
    Change in CAPEX = Closing Fixed Assets - Opening Fixed Assets</t>
      </text>
    </comment>
    <comment ref="B14" authorId="1" shapeId="0" xr:uid="{30E9956D-681F-6249-A1B9-80575B9F3A15}">
      <text>
        <t>[Threaded comment]
Your version of Excel allows you to read this threaded comment; however, any edits to it will get removed if the file is opened in a newer version of Excel. Learn more: https://go.microsoft.com/fwlink/?linkid=870924
Comment:
    Change in NWC = Closing NWC - Opening NWC</t>
      </text>
    </comment>
    <comment ref="B32" authorId="2" shapeId="0" xr:uid="{B1AE5CB2-95BB-E04D-A4A1-13F876F88FE3}">
      <text>
        <t>[Threaded comment]
Your version of Excel allows you to read this threaded comment; however, any edits to it will get removed if the file is opened in a newer version of Excel. Learn more: https://go.microsoft.com/fwlink/?linkid=870924
Comment:
    The switch can be changed as per expectations.
Revenue switch 1: implies Conservative growth revenue scenario.
Revenue Switch 2: implies Base growth revenue scenario which is the average of the Historical revenue growth and the Street estimate growth rate by 6 analysts.
Revenue switch 3: implies the Optimistic revenue growth rate.</t>
      </text>
    </comment>
    <comment ref="B35" authorId="3" shapeId="0" xr:uid="{FD856522-A225-1446-B7A7-F2EFA789BBA0}">
      <text>
        <t>[Threaded comment]
Your version of Excel allows you to read this threaded comment; however, any edits to it will get removed if the file is opened in a newer version of Excel. Learn more: https://go.microsoft.com/fwlink/?linkid=870924
Comment:
    Deviation is included because this financial model does includes updates regarding the quarterly results of the company.</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tc={85ECA302-4196-2748-894A-AEB77D1A15A5}</author>
    <author>tc={B110B682-1CF9-C644-9B32-EC23FEEF3466}</author>
    <author>tc={AE894915-F323-7E4D-9E61-02484D52EDDA}</author>
    <author>tc={74901C43-6051-B046-B473-2B40852CCFB7}</author>
    <author>tc={36BF1AF3-D5C3-8643-8F1A-025A3DA60DBB}</author>
  </authors>
  <commentList>
    <comment ref="B16" authorId="0" shapeId="0" xr:uid="{85ECA302-4196-2748-894A-AEB77D1A15A5}">
      <text>
        <t>[Threaded comment]
Your version of Excel allows you to read this threaded comment; however, any edits to it will get removed if the file is opened in a newer version of Excel. Learn more: https://go.microsoft.com/fwlink/?linkid=870924
Comment:
    Joint Venture company is consistently delivering higher returns year-on-year basis consistently. Therefore, assumed it to provide $4 million dollars of Income under the equity investment method of inter-corporate investments by 2029.</t>
      </text>
    </comment>
    <comment ref="B20" authorId="1" shapeId="0" xr:uid="{B110B682-1CF9-C644-9B32-EC23FEEF3466}">
      <text>
        <t>[Threaded comment]
Your version of Excel allows you to read this threaded comment; however, any edits to it will get removed if the file is opened in a newer version of Excel. Learn more: https://go.microsoft.com/fwlink/?linkid=870924
Comment:
    Deferred income tax expenses is assumed to remain 0 for the forecasted period. Therefore, the DTA and DTL will remain constant for the forecasted period.</t>
      </text>
    </comment>
    <comment ref="B43" authorId="2" shapeId="0" xr:uid="{AE894915-F323-7E4D-9E61-02484D52EDDA}">
      <text>
        <t>[Threaded comment]
Your version of Excel allows you to read this threaded comment; however, any edits to it will get removed if the file is opened in a newer version of Excel. Learn more: https://go.microsoft.com/fwlink/?linkid=870924
Comment:
    It is consistent at $9 million dollars for all the past 5 years (given on page 21 of the 2023 annual reports and similarly in other annual reports), therefore, it is assumed to remain constant for the forecasted period.</t>
      </text>
    </comment>
    <comment ref="C45" authorId="3" shapeId="0" xr:uid="{74901C43-6051-B046-B473-2B40852CCFB7}">
      <text>
        <t>[Threaded comment]
Your version of Excel allows you to read this threaded comment; however, any edits to it will get removed if the file is opened in a newer version of Excel. Learn more: https://go.microsoft.com/fwlink/?linkid=870924
Comment:
    Interest on Current ABL is taken for year-end rather than mid-year Current ABL to make the calculation simpler.</t>
      </text>
    </comment>
    <comment ref="B51" authorId="4" shapeId="0" xr:uid="{36BF1AF3-D5C3-8643-8F1A-025A3DA60DBB}">
      <text>
        <t>[Threaded comment]
Your version of Excel allows you to read this threaded comment; however, any edits to it will get removed if the file is opened in a newer version of Excel. Learn more: https://go.microsoft.com/fwlink/?linkid=870924
Comment:
    Assuming no DTL and DTA in the projections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tc={D0F8FE6B-1BC7-B64F-9A25-D6DBDD24CA0E}</author>
    <author>tc={E11EDFB2-42B8-8D43-B0AB-9430B6FB3611}</author>
    <author>tc={3BB8ED09-CC83-7840-919D-B7165C91A34D}</author>
    <author>tc={F16C91C3-4449-F542-BA92-079E32B297AA}</author>
    <author>tc={619C1EBC-FE93-CB41-838D-73F4BAFAE30D}</author>
    <author>tc={7725D2D5-7C27-D849-81AE-25FE59BEDEEE}</author>
    <author>tc={423818A7-A1C4-0E47-B18A-84BBBF632C74}</author>
    <author>tc={C37C2748-F481-C745-BE3C-158FF2784332}</author>
    <author>tc={4361AF76-D5B5-BC43-A3C9-FFCB43ECF9E8}</author>
    <author>tc={03AE0702-ED97-804B-9963-41D18963FFA2}</author>
    <author>tc={FF2177E4-09B6-4B3D-8E9A-9F11ECBD64D7}</author>
    <author>tc={8D2CB379-5452-5743-A526-83BF5376CA43}</author>
  </authors>
  <commentList>
    <comment ref="B8" authorId="0" shapeId="0" xr:uid="{D0F8FE6B-1BC7-B64F-9A25-D6DBDD24CA0E}">
      <text>
        <t>[Threaded comment]
Your version of Excel allows you to read this threaded comment; however, any edits to it will get removed if the file is opened in a newer version of Excel. Learn more: https://go.microsoft.com/fwlink/?linkid=870924
Comment:
    Includes Receivable purchase agreements (which is directly related to Trade receivables, thus, related to the revenue changes) and Ontario Ministry of the environment, conservation and parks (which is not related to changes in revenue but for the sake of simplicity assumed to be related to revenue changes)</t>
      </text>
    </comment>
    <comment ref="B15" authorId="1" shapeId="0" xr:uid="{E11EDFB2-42B8-8D43-B0AB-9430B6FB3611}">
      <text>
        <t>[Threaded comment]
Your version of Excel allows you to read this threaded comment; however, any edits to it will get removed if the file is opened in a newer version of Excel. Learn more: https://go.microsoft.com/fwlink/?linkid=870924
Comment:
    Derivative asset value is 0 in 2019, 2028, 2029 as Stelco entered into an option agreement on April 30,2020 and is exercisable by Stelco at any time until January 31, 2027, after that it (Derivative assets) will expire.</t>
      </text>
    </comment>
    <comment ref="B18" authorId="2" shapeId="0" xr:uid="{3BB8ED09-CC83-7840-919D-B7165C91A34D}">
      <text>
        <t>[Threaded comment]
Your version of Excel allows you to read this threaded comment; however, any edits to it will get removed if the file is opened in a newer version of Excel. Learn more: https://go.microsoft.com/fwlink/?linkid=870924
Comment:
    Includes Buildings, Machinery &amp; Equipments, Vehicles and Assets under lease.</t>
      </text>
    </comment>
    <comment ref="B29" authorId="3" shapeId="0" xr:uid="{F16C91C3-4449-F542-BA92-079E32B297AA}">
      <text>
        <t>[Threaded comment]
Your version of Excel allows you to read this threaded comment; however, any edits to it will get removed if the file is opened in a newer version of Excel. Learn more: https://go.microsoft.com/fwlink/?linkid=870924
Comment:
    Taken the average value excluding the value in 2020 owing to its outlier characteristics.</t>
      </text>
    </comment>
    <comment ref="B30" authorId="4" shapeId="0" xr:uid="{619C1EBC-FE93-CB41-838D-73F4BAFAE30D}">
      <text>
        <t>[Threaded comment]
Your version of Excel allows you to read this threaded comment; however, any edits to it will get removed if the file is opened in a newer version of Excel. Learn more: https://go.microsoft.com/fwlink/?linkid=870924
Comment:
    Assumed to remain 0 for the forecasted period because in the past it occurred only once in 2020.</t>
      </text>
    </comment>
    <comment ref="B32" authorId="5" shapeId="0" xr:uid="{7725D2D5-7C27-D849-81AE-25FE59BEDEEE}">
      <text>
        <t>[Threaded comment]
Your version of Excel allows you to read this threaded comment; however, any edits to it will get removed if the file is opened in a newer version of Excel. Learn more: https://go.microsoft.com/fwlink/?linkid=870924
Comment:
    Taken the average value omitting the value for 2020 owing to its outlier characteristics.</t>
      </text>
    </comment>
    <comment ref="K32" authorId="6" shapeId="0" xr:uid="{423818A7-A1C4-0E47-B18A-84BBBF632C74}">
      <text>
        <t>[Threaded comment]
Your version of Excel allows you to read this threaded comment; however, any edits to it will get removed if the file is opened in a newer version of Excel. Learn more: https://go.microsoft.com/fwlink/?linkid=870924
Comment:
    Entire ABL repayment expected in 2026 as per the Annual report FY 2024.</t>
      </text>
    </comment>
    <comment ref="B34" authorId="7" shapeId="0" xr:uid="{C37C2748-F481-C745-BE3C-158FF2784332}">
      <text>
        <t>[Threaded comment]
Your version of Excel allows you to read this threaded comment; however, any edits to it will get removed if the file is opened in a newer version of Excel. Learn more: https://go.microsoft.com/fwlink/?linkid=870924
Comment:
    Taken the average value excluding the values in 2021 &amp; 2022 owing to their outlier characteristics.</t>
      </text>
    </comment>
    <comment ref="B40" authorId="8" shapeId="0" xr:uid="{4361AF76-D5B5-BC43-A3C9-FFCB43ECF9E8}">
      <text>
        <t>[Threaded comment]
Your version of Excel allows you to read this threaded comment; however, any edits to it will get removed if the file is opened in a newer version of Excel. Learn more: https://go.microsoft.com/fwlink/?linkid=870924
Comment:
    Forecasted based on the last two years (2022, 2023) values as there was a huge jump in these two years.</t>
      </text>
    </comment>
    <comment ref="B41" authorId="9" shapeId="0" xr:uid="{03AE0702-ED97-804B-9963-41D18963FFA2}">
      <text>
        <t xml:space="preserve">[Threaded comment]
Your version of Excel allows you to read this threaded comment; however, any edits to it will get removed if the file is opened in a newer version of Excel. Learn more: https://go.microsoft.com/fwlink/?linkid=870924
Comment:
    Calculated the Current and Non Current liabilities using the information given in the Annual report (Pdf page no - 34, Document page no - 20) </t>
      </text>
    </comment>
    <comment ref="J41" authorId="10" shapeId="0" xr:uid="{FF2177E4-09B6-4B3D-8E9A-9F11ECBD64D7}">
      <text>
        <t>[Threaded comment]
Your version of Excel allows you to read this threaded comment; however, any edits to it will get removed if the file is opened in a newer version of Excel. Learn more: https://go.microsoft.com/fwlink/?linkid=870924
Comment:
    Outstanding - $8 million dollars with newly added liability of $16 million dollars.</t>
      </text>
    </comment>
    <comment ref="B68" authorId="11" shapeId="0" xr:uid="{8D2CB379-5452-5743-A526-83BF5376CA43}">
      <text>
        <t>[Threaded comment]
Your version of Excel allows you to read this threaded comment; however, any edits to it will get removed if the file is opened in a newer version of Excel. Learn more: https://go.microsoft.com/fwlink/?linkid=870924
Comment:
    2019 and 2023 not included because those dividends were paid out of Net Income and Retained earnings. And rest of the dividends are paid out of Net Income only.</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tc={9A42BD65-A4D1-1847-8C9F-4521F2CBF5A2}</author>
    <author>tc={F81D165A-EC3C-9642-8E2D-E2153BF6CAF5}</author>
    <author>tc={2BFAFF63-48BF-2444-97C9-06AF39DEB7B0}</author>
    <author>tc={AC8FBDBA-B6BE-6F46-914B-F3B965EC916A}</author>
    <author>tc={B831867B-C290-0B45-A2AC-834639892408}</author>
  </authors>
  <commentList>
    <comment ref="B6" authorId="0" shapeId="0" xr:uid="{9A42BD65-A4D1-1847-8C9F-4521F2CBF5A2}">
      <text>
        <t>[Threaded comment]
Your version of Excel allows you to read this threaded comment; however, any edits to it will get removed if the file is opened in a newer version of Excel. Learn more: https://go.microsoft.com/fwlink/?linkid=870924
Comment:
    Includes Write down of Construction-in-process</t>
      </text>
    </comment>
    <comment ref="B8" authorId="1" shapeId="0" xr:uid="{F81D165A-EC3C-9642-8E2D-E2153BF6CAF5}">
      <text>
        <t>[Threaded comment]
Your version of Excel allows you to read this threaded comment; however, any edits to it will get removed if the file is opened in a newer version of Excel. Learn more: https://go.microsoft.com/fwlink/?linkid=870924
Comment:
    Disposals have been adjusted in the Depreciation only because they are occurring each year over the past years.</t>
      </text>
    </comment>
    <comment ref="C9" authorId="2" shapeId="0" xr:uid="{2BFAFF63-48BF-2444-97C9-06AF39DEB7B0}">
      <text>
        <t xml:space="preserve">[Threaded comment]
Your version of Excel allows you to read this threaded comment; however, any edits to it will get removed if the file is opened in a newer version of Excel. Learn more: https://go.microsoft.com/fwlink/?linkid=870924
Comment:
    Also Include one-time IFRS adjustment of $9 million and one-time Spare parts reclassification as equipment of $11 million.
</t>
      </text>
    </comment>
    <comment ref="C21" authorId="3" shapeId="0" xr:uid="{AC8FBDBA-B6BE-6F46-914B-F3B965EC916A}">
      <text>
        <t>[Threaded comment]
Your version of Excel allows you to read this threaded comment; however, any edits to it will get removed if the file is opened in a newer version of Excel. Learn more: https://go.microsoft.com/fwlink/?linkid=870924
Comment:
    $46 million is the accumulated depreciation as at 31st December 2018.</t>
      </text>
    </comment>
    <comment ref="C25" authorId="4" shapeId="0" xr:uid="{B831867B-C290-0B45-A2AC-834639892408}">
      <text>
        <t>[Threaded comment]
Your version of Excel allows you to read this threaded comment; however, any edits to it will get removed if the file is opened in a newer version of Excel. Learn more: https://go.microsoft.com/fwlink/?linkid=870924
Comment:
    FY2020 is not considered in the Average because of fall in revenue (Covid-19).</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tc={EE11C4DF-7FBE-DA4A-B85F-76CED66A70D7}</author>
    <author>tc={E648172B-D522-3147-AB6D-79DABCE42986}</author>
    <author>tc={FB31E5AA-F951-064C-8D9E-E9F811241EC9}</author>
    <author>tc={735F9C85-1D89-8649-B388-7B305F4E182C}</author>
    <author>tc={930FC21C-E5B2-FC4B-BEB7-C20B5417D0DB}</author>
  </authors>
  <commentList>
    <comment ref="B2" authorId="0" shapeId="0" xr:uid="{EE11C4DF-7FBE-DA4A-B85F-76CED66A70D7}">
      <text>
        <t>[Threaded comment]
Your version of Excel allows you to read this threaded comment; however, any edits to it will get removed if the file is opened in a newer version of Excel. Learn more: https://go.microsoft.com/fwlink/?linkid=870924
Comment:
    This switch not to be changed. To make changes check the switch in the income statement sheet.</t>
      </text>
    </comment>
    <comment ref="I7" authorId="1" shapeId="0" xr:uid="{E648172B-D522-3147-AB6D-79DABCE42986}">
      <text>
        <t>[Threaded comment]
Your version of Excel allows you to read this threaded comment; however, any edits to it will get removed if the file is opened in a newer version of Excel. Learn more: https://go.microsoft.com/fwlink/?linkid=870924
Comment:
    Regression values for FY 2024 and FY 2025 are not considered because they highly deviate from the street estimates.</t>
      </text>
    </comment>
    <comment ref="L17" authorId="2" shapeId="0" xr:uid="{FB31E5AA-F951-064C-8D9E-E9F811241EC9}">
      <text>
        <t xml:space="preserve">[Threaded comment]
Your version of Excel allows you to read this threaded comment; however, any edits to it will get removed if the file is opened in a newer version of Excel. Learn more: https://go.microsoft.com/fwlink/?linkid=870924
Comment:
    Street estimates are available only unto 2027 and not beyond that. These estimates have been taken from the S&amp;P Capital IQ.	</t>
      </text>
    </comment>
    <comment ref="B20" authorId="3" shapeId="0" xr:uid="{735F9C85-1D89-8649-B388-7B305F4E182C}">
      <text>
        <t>[Threaded comment]
Your version of Excel allows you to read this threaded comment; however, any edits to it will get removed if the file is opened in a newer version of Excel. Learn more: https://go.microsoft.com/fwlink/?linkid=870924
Comment:
    Regression values are not considered because they highly deviate from the street estimates.</t>
      </text>
    </comment>
    <comment ref="B28" authorId="4" shapeId="0" xr:uid="{930FC21C-E5B2-FC4B-BEB7-C20B5417D0DB}">
      <text>
        <t>[Threaded comment]
Your version of Excel allows you to read this threaded comment; however, any edits to it will get removed if the file is opened in a newer version of Excel. Learn more: https://go.microsoft.com/fwlink/?linkid=870924
Comment:
    This revenue growth not considered because it heavily deviates from the industry estimates.</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tc={FAE5B393-DC05-5C4A-8063-EBBF219C0B18}</author>
    <author>tc={C6D23334-76C5-C54B-B251-2333BD333636}</author>
    <author>tc={58A6675B-CB16-0D42-8E47-B7F54A7CCF43}</author>
    <author>tc={9490BAA9-A03C-8540-AF5D-325A7F78DE84}</author>
    <author>tc={D4267C37-A37B-B145-A795-38BC0E58CD3E}</author>
    <author>tc={7F99D296-FA30-EE44-B2DD-EAF116D32F15}</author>
    <author>tc={EBAAD6F0-84CB-C94C-8331-1A3BA681A4D7}</author>
  </authors>
  <commentList>
    <comment ref="B7" authorId="0" shapeId="0" xr:uid="{FAE5B393-DC05-5C4A-8063-EBBF219C0B18}">
      <text>
        <t>[Threaded comment]
Your version of Excel allows you to read this threaded comment; however, any edits to it will get removed if the file is opened in a newer version of Excel. Learn more: https://go.microsoft.com/fwlink/?linkid=870924
Comment:
    Calculated using CAPM Model.</t>
      </text>
    </comment>
    <comment ref="B8" authorId="1" shapeId="0" xr:uid="{C6D23334-76C5-C54B-B251-2333BD333636}">
      <text>
        <t>[Threaded comment]
Your version of Excel allows you to read this threaded comment; however, any edits to it will get removed if the file is opened in a newer version of Excel. Learn more: https://go.microsoft.com/fwlink/?linkid=870924
Comment:
    Source used: https://www.cnbc.com/quotes/CA10Y-CA</t>
      </text>
    </comment>
    <comment ref="B9" authorId="2" shapeId="0" xr:uid="{58A6675B-CB16-0D42-8E47-B7F54A7CCF43}">
      <text>
        <t>[Threaded comment]
Your version of Excel allows you to read this threaded comment; however, any edits to it will get removed if the file is opened in a newer version of Excel. Learn more: https://go.microsoft.com/fwlink/?linkid=870924
Comment:
    Value taken from S&amp;P Capital IQ.</t>
      </text>
    </comment>
    <comment ref="B10" authorId="3" shapeId="0" xr:uid="{9490BAA9-A03C-8540-AF5D-325A7F78DE84}">
      <text>
        <t>[Threaded comment]
Your version of Excel allows you to read this threaded comment; however, any edits to it will get removed if the file is opened in a newer version of Excel. Learn more: https://go.microsoft.com/fwlink/?linkid=870924
Comment:
    Used the following source: https://pages.stern.nyu.edu/~adamodar/New_Home_Page/datafile/ctryprem.html</t>
      </text>
    </comment>
    <comment ref="B16" authorId="4" shapeId="0" xr:uid="{D4267C37-A37B-B145-A795-38BC0E58CD3E}">
      <text>
        <t>[Threaded comment]
Your version of Excel allows you to read this threaded comment; however, any edits to it will get removed if the file is opened in a newer version of Excel. Learn more: https://go.microsoft.com/fwlink/?linkid=870924
Comment:
    WACC and Capital structure assumed to remain constant for the forecasted period.</t>
      </text>
    </comment>
    <comment ref="B23" authorId="5" shapeId="0" xr:uid="{7F99D296-FA30-EE44-B2DD-EAF116D32F15}">
      <text>
        <t>[Threaded comment]
Your version of Excel allows you to read this threaded comment; however, any edits to it will get removed if the file is opened in a newer version of Excel. Learn more: https://go.microsoft.com/fwlink/?linkid=870924
Comment:
    This interest includes Interest on Mortgage, Capital lease and ABL. Interest on Capital lease is not separately given but is part of the finance cost in the income cost, therefore, this interest on Capital lease is taken from the S&amp;P Capital IQ.</t>
      </text>
    </comment>
    <comment ref="B29" authorId="6" shapeId="0" xr:uid="{EBAAD6F0-84CB-C94C-8331-1A3BA681A4D7}">
      <text>
        <t>[Threaded comment]
Your version of Excel allows you to read this threaded comment; however, any edits to it will get removed if the file is opened in a newer version of Excel. Learn more: https://go.microsoft.com/fwlink/?linkid=870924
Comment:
    Average Canadian GDP Growth rate (used as Terminal growth rate)</t>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2"/>
        </ext>
      </extLst>
    </bk>
  </futureMetadata>
  <cellMetadata count="1">
    <bk>
      <rc t="1" v="0"/>
    </bk>
  </cellMetadata>
  <valueMetadata count="1">
    <bk>
      <rc t="2" v="0"/>
    </bk>
  </valueMetadata>
</metadata>
</file>

<file path=xl/sharedStrings.xml><?xml version="1.0" encoding="utf-8"?>
<sst xmlns="http://schemas.openxmlformats.org/spreadsheetml/2006/main" count="413" uniqueCount="274">
  <si>
    <t>Date</t>
  </si>
  <si>
    <t>Year end date</t>
  </si>
  <si>
    <t>Free Cash Flow to the Firm (in million of dollars)</t>
  </si>
  <si>
    <t>Particulars</t>
  </si>
  <si>
    <t>2024 E</t>
  </si>
  <si>
    <t>2025 E</t>
  </si>
  <si>
    <t>2026 E</t>
  </si>
  <si>
    <t xml:space="preserve">2027 E </t>
  </si>
  <si>
    <t>2028 E</t>
  </si>
  <si>
    <t>Revenue</t>
  </si>
  <si>
    <t>EBIT</t>
  </si>
  <si>
    <t>Taxes (25%)</t>
  </si>
  <si>
    <t>EBIAT</t>
  </si>
  <si>
    <t>Depreciation</t>
  </si>
  <si>
    <t>△ in CAPEX</t>
  </si>
  <si>
    <t>△ in NWC</t>
  </si>
  <si>
    <t>FCFF</t>
  </si>
  <si>
    <t>Terminal value</t>
  </si>
  <si>
    <t>FCFF + Terminal value</t>
  </si>
  <si>
    <t>PV of FCFF</t>
  </si>
  <si>
    <t>Forecasting period</t>
  </si>
  <si>
    <t>Forecasting period (adjusted)</t>
  </si>
  <si>
    <t>WACC</t>
  </si>
  <si>
    <t>Terminal Growth rate</t>
  </si>
  <si>
    <t>PV of explicit period and TV (2024-2028)</t>
  </si>
  <si>
    <t>Enterprise Value</t>
  </si>
  <si>
    <t>(+) Cash</t>
  </si>
  <si>
    <t>(-) Debt</t>
  </si>
  <si>
    <t>Equity Value</t>
  </si>
  <si>
    <t>Diluted Shares</t>
  </si>
  <si>
    <t>Revenue Switch</t>
  </si>
  <si>
    <t>Implied Stock Price (Fair Value)</t>
  </si>
  <si>
    <t>Margin of deviation range in % (+/-)</t>
  </si>
  <si>
    <t>Margin of deviation range in $ (+/-)</t>
  </si>
  <si>
    <t>Recommendation</t>
  </si>
  <si>
    <t xml:space="preserve"> </t>
  </si>
  <si>
    <t>Consolidated Income Statement (in millions of Canadian dollars, except per share amount)</t>
  </si>
  <si>
    <t>2027 E</t>
  </si>
  <si>
    <t>Cost of goods sold</t>
  </si>
  <si>
    <t>Depreciation expense (on Inventory)</t>
  </si>
  <si>
    <t>Gross profit</t>
  </si>
  <si>
    <t>Selling, General and Administrative expenses</t>
  </si>
  <si>
    <t>Operating Income (EBIT)</t>
  </si>
  <si>
    <t>Finance costs excluding Interest costs</t>
  </si>
  <si>
    <t>Interest on mortgage</t>
  </si>
  <si>
    <t>Interest Cost on Asset-based lending facility (ABL)</t>
  </si>
  <si>
    <t>Finance and other income (loss)</t>
  </si>
  <si>
    <t>Other costs</t>
  </si>
  <si>
    <t>Share of income from joint ventures</t>
  </si>
  <si>
    <t>Gain on sale of land and buildings</t>
  </si>
  <si>
    <t>Income before Income Tax (EBT)</t>
  </si>
  <si>
    <t>Current income tax expense</t>
  </si>
  <si>
    <t>Deferred Income Tax expenses (recovery)</t>
  </si>
  <si>
    <t>Net income</t>
  </si>
  <si>
    <t>Taxes</t>
  </si>
  <si>
    <t>Net income per common share</t>
  </si>
  <si>
    <t>Basic</t>
  </si>
  <si>
    <t>Diluted</t>
  </si>
  <si>
    <t>No. of outstanding shares (in millions) at year end</t>
  </si>
  <si>
    <t>Weighted average shares outstanding (in millions)</t>
  </si>
  <si>
    <t>Tax rate</t>
  </si>
  <si>
    <t>Assumptions and inputs</t>
  </si>
  <si>
    <t>Conservative</t>
  </si>
  <si>
    <t>Base (average of Historical numbers and Street estimates)</t>
  </si>
  <si>
    <t>Optimist</t>
  </si>
  <si>
    <t>Depreciation as % COGS</t>
  </si>
  <si>
    <t>Interest on ABL as a % of ABL</t>
  </si>
  <si>
    <t>Profit Margins</t>
  </si>
  <si>
    <t>Consolidated Balance Sheet (in millions of dollars)</t>
  </si>
  <si>
    <t>Description</t>
  </si>
  <si>
    <t>A.</t>
  </si>
  <si>
    <t>Assets</t>
  </si>
  <si>
    <t> </t>
  </si>
  <si>
    <t>Current assets</t>
  </si>
  <si>
    <t>Cash</t>
  </si>
  <si>
    <t>Restricted cash</t>
  </si>
  <si>
    <t>Trade and other receivables</t>
  </si>
  <si>
    <t>Inventories</t>
  </si>
  <si>
    <t>Prepaid expenses and deposits</t>
  </si>
  <si>
    <t>Total current assets</t>
  </si>
  <si>
    <t>Non-current assets</t>
  </si>
  <si>
    <t>Derivative asset</t>
  </si>
  <si>
    <t>Land</t>
  </si>
  <si>
    <t>Construction-in-progress</t>
  </si>
  <si>
    <t>Gross PP&amp;E</t>
  </si>
  <si>
    <t>Accumulated Depreciation</t>
  </si>
  <si>
    <t>Property, plant and equipment, net</t>
  </si>
  <si>
    <t>Intangible assets</t>
  </si>
  <si>
    <t>Investment in joint ventures</t>
  </si>
  <si>
    <t>Deferred tax asset</t>
  </si>
  <si>
    <t>Total non-current assets</t>
  </si>
  <si>
    <t>Total assets</t>
  </si>
  <si>
    <t>Liabilities</t>
  </si>
  <si>
    <t>Current liabilities</t>
  </si>
  <si>
    <t>Trade and other payables</t>
  </si>
  <si>
    <t>Derivative Liabilities</t>
  </si>
  <si>
    <t>Other liabilities</t>
  </si>
  <si>
    <t>Asset-based lending facility</t>
  </si>
  <si>
    <t>Income taxes payable</t>
  </si>
  <si>
    <t>Obligations to independent employee trusts</t>
  </si>
  <si>
    <t>Total current liabilities</t>
  </si>
  <si>
    <t>Non-current liabilities</t>
  </si>
  <si>
    <t>Provisions</t>
  </si>
  <si>
    <t>Pension benefits</t>
  </si>
  <si>
    <t>Deferred tax liability</t>
  </si>
  <si>
    <t>Total non-current liabilities</t>
  </si>
  <si>
    <t>Total liabilities</t>
  </si>
  <si>
    <t>Equity</t>
  </si>
  <si>
    <t>Common shares ($) - ( as on 1st January - opening )</t>
  </si>
  <si>
    <t>Treasury stock ($)</t>
  </si>
  <si>
    <t>Common shares ($) - ( as on 31st December - closing )</t>
  </si>
  <si>
    <t>Net Income</t>
  </si>
  <si>
    <t>Dividends paid</t>
  </si>
  <si>
    <t>Accumulated Retained earnings</t>
  </si>
  <si>
    <t>Total equity</t>
  </si>
  <si>
    <t>Total liabilities and equity</t>
  </si>
  <si>
    <t>Difference (check)</t>
  </si>
  <si>
    <t>Price of common stock repurchase per share</t>
  </si>
  <si>
    <t>Dividends ( total paid )</t>
  </si>
  <si>
    <t>Dividend per share (as per annual reports)</t>
  </si>
  <si>
    <t>Special dvidend per share</t>
  </si>
  <si>
    <t>Average Dividend per share</t>
  </si>
  <si>
    <t>CAGR</t>
  </si>
  <si>
    <t>Dividends per share ( year on year growth )</t>
  </si>
  <si>
    <t>-</t>
  </si>
  <si>
    <t>Dividend /Net Income</t>
  </si>
  <si>
    <t>Average Dividend yr-on-yr growth</t>
  </si>
  <si>
    <t>Debt Calculations</t>
  </si>
  <si>
    <t>Mortgage payable</t>
  </si>
  <si>
    <t>Assumptions</t>
  </si>
  <si>
    <t>CA/Sales</t>
  </si>
  <si>
    <t>CL/Sales</t>
  </si>
  <si>
    <t>Average CA/Revenue</t>
  </si>
  <si>
    <t>Average CL/Revenue</t>
  </si>
  <si>
    <t>Trade and other payables/Sales</t>
  </si>
  <si>
    <t>Other liabilities ( Current &amp; Non Current Liab )</t>
  </si>
  <si>
    <t>Lease and other related obligations/Sales</t>
  </si>
  <si>
    <t>Share-based compensation/Sales</t>
  </si>
  <si>
    <t>Salaries and benefits payable/Sales</t>
  </si>
  <si>
    <t>Lease and other related obligations</t>
  </si>
  <si>
    <t>Strategic Innovation Fund loan/Sales</t>
  </si>
  <si>
    <t>Share-based compensation</t>
  </si>
  <si>
    <t>Boiler project financing arrangement/Sales</t>
  </si>
  <si>
    <t>Salaries and benefits payable</t>
  </si>
  <si>
    <t>Post-employment benefits/Sales</t>
  </si>
  <si>
    <t>Strategic Innovation Fund loan</t>
  </si>
  <si>
    <t>Interest payable/Sales</t>
  </si>
  <si>
    <t>Boiler project financing arrangement</t>
  </si>
  <si>
    <t>Deferred income/Sales</t>
  </si>
  <si>
    <t xml:space="preserve">Post-employment benefits </t>
  </si>
  <si>
    <t>Other Liabilities/Sales</t>
  </si>
  <si>
    <t>Interest payable</t>
  </si>
  <si>
    <t>Other Liabilities - Current/Sales</t>
  </si>
  <si>
    <t>Deferred income</t>
  </si>
  <si>
    <t>Other Liabilities - Current growth rate</t>
  </si>
  <si>
    <t>Other Liabilities</t>
  </si>
  <si>
    <t>Other Liabilities -  non Current/Sales</t>
  </si>
  <si>
    <t>Other Liabilities - non Current growth rate</t>
  </si>
  <si>
    <t>Asset Based lending facility - Current Liabiloty/Sales</t>
  </si>
  <si>
    <t>Income taxes payable - Current Liability/Sales</t>
  </si>
  <si>
    <t>Obligations to independent employee trusts Current Liability/sales</t>
  </si>
  <si>
    <t>Obligations to independent employee trusts non current liability/Sales</t>
  </si>
  <si>
    <t>Calculation of NWC</t>
  </si>
  <si>
    <t>Changes in current assets</t>
  </si>
  <si>
    <t>Changes in current liabilities</t>
  </si>
  <si>
    <t>Current Assets</t>
  </si>
  <si>
    <t>Restricted Cash/Revenue</t>
  </si>
  <si>
    <t>Trade and other receivables/Revenue</t>
  </si>
  <si>
    <t>Inventories/Revenue</t>
  </si>
  <si>
    <t>Prepaid expenses and deposits/Revenue</t>
  </si>
  <si>
    <t>Fixed Assets (in millions of dollars)</t>
  </si>
  <si>
    <t>Opening Net Balance</t>
  </si>
  <si>
    <t>Purchases</t>
  </si>
  <si>
    <t>Disposal, write-downs and other items</t>
  </si>
  <si>
    <t>Strategic Funds Contributions</t>
  </si>
  <si>
    <t>Depreciation net of disposals</t>
  </si>
  <si>
    <t>Closing Net Balance</t>
  </si>
  <si>
    <t>Categories of Fixed Assets</t>
  </si>
  <si>
    <t>Buildings</t>
  </si>
  <si>
    <t>Machinery &amp; Equipment</t>
  </si>
  <si>
    <t>Vehicles</t>
  </si>
  <si>
    <t>Assets under lease</t>
  </si>
  <si>
    <t>Total Gross Fixed Assets</t>
  </si>
  <si>
    <t>Accumulated depreciation</t>
  </si>
  <si>
    <t>Total Net Fixed Assets</t>
  </si>
  <si>
    <t>Net Fixed Assets / Revenue</t>
  </si>
  <si>
    <t>Average Net FA/Revenue</t>
  </si>
  <si>
    <t>Weight calculations</t>
  </si>
  <si>
    <t>Usefull life</t>
  </si>
  <si>
    <t>20-35 years</t>
  </si>
  <si>
    <t>5-40 years</t>
  </si>
  <si>
    <t>4-15 years</t>
  </si>
  <si>
    <t>Total</t>
  </si>
  <si>
    <t>Depreciation rates</t>
  </si>
  <si>
    <t>Rates</t>
  </si>
  <si>
    <t>Avg. Lifetime</t>
  </si>
  <si>
    <t>Time period</t>
  </si>
  <si>
    <t>Average depreciation rate</t>
  </si>
  <si>
    <t>Overall weighted depreciation rate</t>
  </si>
  <si>
    <t>Years</t>
  </si>
  <si>
    <t>2024E</t>
  </si>
  <si>
    <t>2025E</t>
  </si>
  <si>
    <t>2026E</t>
  </si>
  <si>
    <t>2027E</t>
  </si>
  <si>
    <t>2028E</t>
  </si>
  <si>
    <t>% change</t>
  </si>
  <si>
    <t>Base</t>
  </si>
  <si>
    <t>Method 1: Historicals (average)</t>
  </si>
  <si>
    <t>Method 2: Street estimates (no. of analysts = 6)</t>
  </si>
  <si>
    <t>Method 3: Regression</t>
  </si>
  <si>
    <t>Intercept</t>
  </si>
  <si>
    <t>Slope</t>
  </si>
  <si>
    <t>R^2</t>
  </si>
  <si>
    <t>Slope/Revenue 2023</t>
  </si>
  <si>
    <t>SUMMARY OUTPUT</t>
  </si>
  <si>
    <t>Regression Statistics</t>
  </si>
  <si>
    <t>Multiple R</t>
  </si>
  <si>
    <t>R Square</t>
  </si>
  <si>
    <t>Adjusted R Square</t>
  </si>
  <si>
    <t>Standard Error</t>
  </si>
  <si>
    <t>Observations</t>
  </si>
  <si>
    <t>ANOVA</t>
  </si>
  <si>
    <t>df</t>
  </si>
  <si>
    <t>SS</t>
  </si>
  <si>
    <t>MS</t>
  </si>
  <si>
    <t>F</t>
  </si>
  <si>
    <t>Significance F</t>
  </si>
  <si>
    <t>Regression</t>
  </si>
  <si>
    <t>Residual</t>
  </si>
  <si>
    <t>Coefficients</t>
  </si>
  <si>
    <t>t Stat</t>
  </si>
  <si>
    <t>P-value</t>
  </si>
  <si>
    <t>Lower 95%</t>
  </si>
  <si>
    <t>Upper 95%</t>
  </si>
  <si>
    <t>Lower 95.0%</t>
  </si>
  <si>
    <t>Upper 95.0%</t>
  </si>
  <si>
    <t>RESIDUAL OUTPUT</t>
  </si>
  <si>
    <t>PROBABILITY OUTPUT</t>
  </si>
  <si>
    <t>Observation</t>
  </si>
  <si>
    <t>Predicted Revenue</t>
  </si>
  <si>
    <t>Residuals</t>
  </si>
  <si>
    <t>Standard Residuals</t>
  </si>
  <si>
    <t>Percentile</t>
  </si>
  <si>
    <t>WACC = (% of equity x cost of equity) + (% of debt x cost of debt x (1 - Tax Rate))</t>
  </si>
  <si>
    <t>Cost of equity = Risk free rate + (Beta x Market Risk Premium)</t>
  </si>
  <si>
    <t>WACC calculation</t>
  </si>
  <si>
    <t>Market Cap (Current)</t>
  </si>
  <si>
    <t>% of Equity</t>
  </si>
  <si>
    <t>Cost of Equity</t>
  </si>
  <si>
    <t>Risk Free Rate</t>
  </si>
  <si>
    <t>Beta</t>
  </si>
  <si>
    <t>Market Risk Premium (Implied ERP)</t>
  </si>
  <si>
    <t>Debt (Current)</t>
  </si>
  <si>
    <t>% of Debt</t>
  </si>
  <si>
    <t>Cost of Debt</t>
  </si>
  <si>
    <t>Tax Rate</t>
  </si>
  <si>
    <t>Debt components</t>
  </si>
  <si>
    <t>ABL</t>
  </si>
  <si>
    <t>Capital lease</t>
  </si>
  <si>
    <t>Total debt</t>
  </si>
  <si>
    <t>Interest</t>
  </si>
  <si>
    <t>Interest / Total debt</t>
  </si>
  <si>
    <t>Canadian GDP forecasted growth rate (2024-2029)</t>
  </si>
  <si>
    <t>Long-term FCF growth</t>
  </si>
  <si>
    <t>STRENGTHS of DCF Valuations</t>
  </si>
  <si>
    <t>In the DCF model, we have provided Revenue switch in the Income sheet which can be adjusted as per requirement or expectations. Revenue switch 1: implies Conservative growth revenue scenario, Revenue Switch 2: implies Base growth revenue scenario which is the average of the Historical revenue growth and the Street estimate growth rate by 6 analysts and Revenue switch 3: implies the Optimistic revenue growth rate. Thus, rendering entire model more dynamic.</t>
  </si>
  <si>
    <t>While calculating several forecasted growth rate values, I have removed some years data which showed extreme deviation from other years to make the entire growth more accurate and conservative for projections.</t>
  </si>
  <si>
    <t>I have considered all the information in detail from the annual reports regarding any expected changes in past and future values such as Share repurchase during 2024 which was mentioned in the 2023 annual report.</t>
  </si>
  <si>
    <t>I have taken the Terminal growth rate as the GDP forecasted growth, because based on the size and age of the company it should have terminal growth rate almost in line with the GDP Growth rate and the canadian steel industry growth rate is also in line with the GDP projections. Industry growth rate taken from CFRA Equity Research report from S&amp;P Capital IQ.</t>
  </si>
  <si>
    <t>I have included the street estimates in revenue projections (street estimates are the revenue estimates performed by various Invesment funds who have more detailed information than a retail investor like me. Street estimates are included in the Revenue Switch 2 in the Income sheet.</t>
  </si>
  <si>
    <t>WEAKNESSES of DCF Valuations</t>
  </si>
  <si>
    <t>Although I have made very conservative revenue forecasts, there can always be changes in the assumptions such as massive change in the future capital structure rendering the WACC value incorrect for DCF because changes in the weights, thus, causing massive changes in the fair value. Same goes with the revenue growth for the explicit and implicit period.</t>
  </si>
  <si>
    <t>Also, any drastic changes in the revenue forecasted growth rate can entirely render different fair value of the stock.</t>
  </si>
  <si>
    <t>Cost of Equity is calculated using the CAPM model which assumed that the market are efficient and investor are rational, therefore, this Cost of equity method has its own limitions.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</si>
</sst>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0.00_);[Red]\(0.00\)"/>
    <numFmt numFmtId="165" formatCode="0.0000_);[Red]\(0.0000\)"/>
    <numFmt numFmtId="166" formatCode="0.00000_);[Red]\(0.00000\)"/>
    <numFmt numFmtId="167" formatCode="0.0_);[Red]\(0.0\)"/>
    <numFmt numFmtId="168" formatCode="0.0%"/>
  </numFmts>
  <fonts count="26" x14ac:knownFonts="1">
    <font>
      <sz val="12"/>
      <color theme="1"/>
      <name val="Calibri"/>
      <family val="2"/>
      <scheme val="minor"/>
    </font>
    <font>
      <b/>
      <sz val="12"/>
      <color theme="0"/>
      <name val="Calibri"/>
      <family val="2"/>
      <scheme val="minor"/>
    </font>
    <font>
      <b/>
      <sz val="12"/>
      <color theme="1"/>
      <name val="Calibri"/>
      <family val="2"/>
      <scheme val="minor"/>
    </font>
    <font>
      <b/>
      <i/>
      <sz val="12"/>
      <color theme="1"/>
      <name val="Calibri"/>
      <family val="2"/>
      <scheme val="minor"/>
    </font>
    <font>
      <i/>
      <sz val="12"/>
      <color theme="1"/>
      <name val="Calibri"/>
      <family val="2"/>
      <scheme val="minor"/>
    </font>
    <font>
      <b/>
      <sz val="12"/>
      <color rgb="FF000000"/>
      <name val="Calibri"/>
      <family val="2"/>
    </font>
    <font>
      <sz val="12"/>
      <color rgb="FF000000"/>
      <name val="Calibri"/>
      <family val="2"/>
    </font>
    <font>
      <sz val="11"/>
      <color rgb="FF000000"/>
      <name val="Calibri"/>
      <family val="2"/>
    </font>
    <font>
      <b/>
      <i/>
      <sz val="11"/>
      <color rgb="FF000000"/>
      <name val="Calibri"/>
      <family val="2"/>
    </font>
    <font>
      <b/>
      <sz val="11"/>
      <color rgb="FF000000"/>
      <name val="Calibri"/>
      <family val="2"/>
    </font>
    <font>
      <sz val="12"/>
      <color theme="1"/>
      <name val="Calibri"/>
      <family val="2"/>
      <scheme val="minor"/>
    </font>
    <font>
      <b/>
      <i/>
      <sz val="12"/>
      <color theme="1"/>
      <name val="Calibri (Body)"/>
    </font>
    <font>
      <b/>
      <sz val="11"/>
      <color theme="0"/>
      <name val="Calibri"/>
      <family val="2"/>
      <scheme val="minor"/>
    </font>
    <font>
      <i/>
      <sz val="12"/>
      <color theme="1" tint="0.34998626667073579"/>
      <name val="Calibri"/>
      <family val="2"/>
      <scheme val="minor"/>
    </font>
    <font>
      <sz val="11"/>
      <color theme="1"/>
      <name val="Calibri"/>
      <family val="2"/>
    </font>
    <font>
      <i/>
      <sz val="12"/>
      <color rgb="FF000000"/>
      <name val="Calibri"/>
      <family val="2"/>
    </font>
    <font>
      <sz val="12"/>
      <color theme="0"/>
      <name val="Calibri"/>
      <family val="2"/>
      <scheme val="minor"/>
    </font>
    <font>
      <b/>
      <sz val="10"/>
      <name val="Arial"/>
      <family val="2"/>
    </font>
    <font>
      <b/>
      <i/>
      <sz val="12"/>
      <color rgb="FF000000"/>
      <name val="Calibri"/>
      <family val="2"/>
    </font>
    <font>
      <sz val="11"/>
      <color rgb="FFFF0000"/>
      <name val="Calibri"/>
      <family val="2"/>
    </font>
    <font>
      <b/>
      <sz val="18"/>
      <color theme="1"/>
      <name val="Calibri"/>
      <family val="2"/>
      <scheme val="minor"/>
    </font>
    <font>
      <i/>
      <sz val="11"/>
      <color theme="1"/>
      <name val="Calibri"/>
      <family val="2"/>
      <scheme val="minor"/>
    </font>
    <font>
      <i/>
      <sz val="10"/>
      <color theme="1"/>
      <name val="Calibri"/>
      <family val="2"/>
      <scheme val="minor"/>
    </font>
    <font>
      <i/>
      <sz val="10"/>
      <color rgb="FF000000"/>
      <name val="Calibri"/>
      <family val="2"/>
    </font>
    <font>
      <i/>
      <sz val="11"/>
      <color rgb="FF000000"/>
      <name val="Calibri"/>
      <family val="2"/>
    </font>
    <font>
      <sz val="10"/>
      <name val="Arial"/>
      <family val="2"/>
    </font>
  </fonts>
  <fills count="11">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0.249977111117893"/>
        <bgColor rgb="FF000000"/>
      </patternFill>
    </fill>
    <fill>
      <patternFill patternType="solid">
        <fgColor rgb="FF00B0F0"/>
        <bgColor indexed="64"/>
      </patternFill>
    </fill>
    <fill>
      <patternFill patternType="solid">
        <fgColor theme="8" tint="0.59999389629810485"/>
        <bgColor indexed="64"/>
      </patternFill>
    </fill>
    <fill>
      <patternFill patternType="solid">
        <fgColor rgb="FFFFFFFF"/>
        <bgColor rgb="FF000000"/>
      </patternFill>
    </fill>
    <fill>
      <patternFill patternType="solid">
        <fgColor theme="0" tint="-4.9989318521683403E-2"/>
        <bgColor rgb="FF000000"/>
      </patternFill>
    </fill>
  </fills>
  <borders count="25">
    <border>
      <left/>
      <right/>
      <top/>
      <bottom/>
      <diagonal/>
    </border>
    <border>
      <left/>
      <right/>
      <top style="thin">
        <color indexed="64"/>
      </top>
      <bottom/>
      <diagonal/>
    </border>
    <border>
      <left/>
      <right/>
      <top style="thin">
        <color indexed="64"/>
      </top>
      <bottom style="medium">
        <color indexed="64"/>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bottom style="thin">
        <color rgb="FFFFFFFF"/>
      </bottom>
      <diagonal/>
    </border>
    <border>
      <left/>
      <right/>
      <top/>
      <bottom style="medium">
        <color indexed="64"/>
      </bottom>
      <diagonal/>
    </border>
    <border>
      <left/>
      <right/>
      <top style="medium">
        <color indexed="64"/>
      </top>
      <bottom style="thin">
        <color indexed="64"/>
      </bottom>
      <diagonal/>
    </border>
    <border>
      <left style="thin">
        <color rgb="FFFFFFFF"/>
      </left>
      <right style="thin">
        <color rgb="FFFFFFFF"/>
      </right>
      <top/>
      <bottom/>
      <diagonal/>
    </border>
    <border>
      <left/>
      <right style="thin">
        <color rgb="FFFFFFFF"/>
      </right>
      <top/>
      <bottom/>
      <diagonal/>
    </border>
    <border>
      <left style="thin">
        <color rgb="FFFFFFFF"/>
      </left>
      <right style="thin">
        <color rgb="FFFFFFFF"/>
      </right>
      <top style="thin">
        <color indexed="64"/>
      </top>
      <bottom style="thin">
        <color rgb="FFFFFFFF"/>
      </bottom>
      <diagonal/>
    </border>
    <border>
      <left/>
      <right style="thin">
        <color rgb="FFFFFFFF"/>
      </right>
      <top style="thin">
        <color indexed="64"/>
      </top>
      <bottom style="thin">
        <color rgb="FFFFFFFF"/>
      </bottom>
      <diagonal/>
    </border>
    <border>
      <left style="thin">
        <color rgb="FFFFFFFF"/>
      </left>
      <right style="thin">
        <color rgb="FFFFFFFF"/>
      </right>
      <top style="thin">
        <color indexed="64"/>
      </top>
      <bottom style="thin">
        <color indexed="64"/>
      </bottom>
      <diagonal/>
    </border>
    <border>
      <left/>
      <right style="thin">
        <color rgb="FFFFFFFF"/>
      </right>
      <top style="thin">
        <color indexed="64"/>
      </top>
      <bottom style="thin">
        <color indexed="64"/>
      </bottom>
      <diagonal/>
    </border>
    <border>
      <left style="thin">
        <color rgb="FFFFFFFF"/>
      </left>
      <right style="thin">
        <color rgb="FFFFFFFF"/>
      </right>
      <top style="thin">
        <color indexed="64"/>
      </top>
      <bottom style="medium">
        <color indexed="64"/>
      </bottom>
      <diagonal/>
    </border>
    <border>
      <left/>
      <right style="thin">
        <color rgb="FFFFFFFF"/>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s>
  <cellStyleXfs count="3">
    <xf numFmtId="0" fontId="0" fillId="0" borderId="0"/>
    <xf numFmtId="9" fontId="10" fillId="0" borderId="0" applyFont="0" applyFill="0" applyBorder="0" applyAlignment="0" applyProtection="0"/>
    <xf numFmtId="0" fontId="25" fillId="0" borderId="0"/>
  </cellStyleXfs>
  <cellXfs count="176">
    <xf numFmtId="0" fontId="0" fillId="0" borderId="0" xfId="0"/>
    <xf numFmtId="0" fontId="0" fillId="2" borderId="0" xfId="0" applyFill="1"/>
    <xf numFmtId="164" fontId="0" fillId="2" borderId="0" xfId="0" applyNumberFormat="1" applyFill="1"/>
    <xf numFmtId="164" fontId="3" fillId="4" borderId="0" xfId="0" applyNumberFormat="1" applyFont="1" applyFill="1"/>
    <xf numFmtId="164" fontId="3" fillId="4" borderId="0" xfId="0" applyNumberFormat="1" applyFont="1" applyFill="1" applyAlignment="1">
      <alignment horizontal="right"/>
    </xf>
    <xf numFmtId="164" fontId="2" fillId="2" borderId="1" xfId="0" applyNumberFormat="1" applyFont="1" applyFill="1" applyBorder="1"/>
    <xf numFmtId="164" fontId="0" fillId="2" borderId="1" xfId="0" applyNumberFormat="1" applyFill="1" applyBorder="1"/>
    <xf numFmtId="164" fontId="2" fillId="2" borderId="2" xfId="0" applyNumberFormat="1" applyFont="1" applyFill="1" applyBorder="1"/>
    <xf numFmtId="164" fontId="0" fillId="2" borderId="2" xfId="0" applyNumberFormat="1" applyFill="1" applyBorder="1"/>
    <xf numFmtId="164" fontId="2" fillId="5" borderId="0" xfId="0" applyNumberFormat="1" applyFont="1" applyFill="1"/>
    <xf numFmtId="164" fontId="0" fillId="5" borderId="0" xfId="0" applyNumberFormat="1" applyFill="1"/>
    <xf numFmtId="164" fontId="4" fillId="5" borderId="0" xfId="0" applyNumberFormat="1" applyFont="1" applyFill="1" applyAlignment="1">
      <alignment horizontal="left" indent="1"/>
    </xf>
    <xf numFmtId="164" fontId="2" fillId="2" borderId="0" xfId="0" applyNumberFormat="1" applyFont="1" applyFill="1"/>
    <xf numFmtId="164" fontId="5" fillId="2" borderId="3" xfId="0" applyNumberFormat="1" applyFont="1" applyFill="1" applyBorder="1"/>
    <xf numFmtId="164" fontId="6" fillId="2" borderId="4" xfId="0" applyNumberFormat="1" applyFont="1" applyFill="1" applyBorder="1"/>
    <xf numFmtId="164" fontId="7" fillId="2" borderId="4" xfId="0" applyNumberFormat="1" applyFont="1" applyFill="1" applyBorder="1"/>
    <xf numFmtId="164" fontId="6" fillId="2" borderId="3" xfId="0" applyNumberFormat="1" applyFont="1" applyFill="1" applyBorder="1"/>
    <xf numFmtId="164" fontId="6" fillId="2" borderId="5" xfId="0" applyNumberFormat="1" applyFont="1" applyFill="1" applyBorder="1"/>
    <xf numFmtId="164" fontId="7" fillId="2" borderId="5" xfId="0" applyNumberFormat="1" applyFont="1" applyFill="1" applyBorder="1"/>
    <xf numFmtId="164" fontId="5" fillId="2" borderId="5" xfId="0" applyNumberFormat="1" applyFont="1" applyFill="1" applyBorder="1"/>
    <xf numFmtId="164" fontId="4" fillId="2" borderId="0" xfId="0" applyNumberFormat="1" applyFont="1" applyFill="1" applyAlignment="1">
      <alignment horizontal="left" indent="1"/>
    </xf>
    <xf numFmtId="0" fontId="3" fillId="4" borderId="0" xfId="0" applyFont="1" applyFill="1"/>
    <xf numFmtId="0" fontId="2" fillId="5" borderId="0" xfId="0" applyFont="1" applyFill="1"/>
    <xf numFmtId="9" fontId="0" fillId="5" borderId="0" xfId="1" applyFont="1" applyFill="1"/>
    <xf numFmtId="9" fontId="0" fillId="5" borderId="0" xfId="1" applyFont="1" applyFill="1" applyAlignment="1">
      <alignment horizontal="right"/>
    </xf>
    <xf numFmtId="164" fontId="0" fillId="2" borderId="0" xfId="0" applyNumberFormat="1" applyFill="1" applyAlignment="1">
      <alignment horizontal="right"/>
    </xf>
    <xf numFmtId="9" fontId="0" fillId="2" borderId="0" xfId="1" applyFont="1" applyFill="1"/>
    <xf numFmtId="0" fontId="4" fillId="2" borderId="7" xfId="0" applyFont="1" applyFill="1" applyBorder="1" applyAlignment="1">
      <alignment horizontal="centerContinuous"/>
    </xf>
    <xf numFmtId="0" fontId="0" fillId="2" borderId="6" xfId="0" applyFill="1" applyBorder="1"/>
    <xf numFmtId="0" fontId="4" fillId="2" borderId="7" xfId="0" applyFont="1" applyFill="1" applyBorder="1" applyAlignment="1">
      <alignment horizontal="center"/>
    </xf>
    <xf numFmtId="164" fontId="2" fillId="5" borderId="0" xfId="0" applyNumberFormat="1" applyFont="1" applyFill="1" applyAlignment="1">
      <alignment horizontal="right"/>
    </xf>
    <xf numFmtId="9" fontId="4" fillId="5" borderId="0" xfId="1" applyFont="1" applyFill="1"/>
    <xf numFmtId="164" fontId="6" fillId="2" borderId="9" xfId="0" applyNumberFormat="1" applyFont="1" applyFill="1" applyBorder="1"/>
    <xf numFmtId="164" fontId="7" fillId="2" borderId="9" xfId="0" applyNumberFormat="1" applyFont="1" applyFill="1" applyBorder="1"/>
    <xf numFmtId="164" fontId="5" fillId="2" borderId="9" xfId="0" applyNumberFormat="1" applyFont="1" applyFill="1" applyBorder="1"/>
    <xf numFmtId="164" fontId="6" fillId="2" borderId="0" xfId="0" applyNumberFormat="1" applyFont="1" applyFill="1"/>
    <xf numFmtId="164" fontId="7" fillId="2" borderId="0" xfId="0" applyNumberFormat="1" applyFont="1" applyFill="1"/>
    <xf numFmtId="164" fontId="5" fillId="2" borderId="0" xfId="0" applyNumberFormat="1" applyFont="1" applyFill="1"/>
    <xf numFmtId="164" fontId="5" fillId="2" borderId="10" xfId="0" applyNumberFormat="1" applyFont="1" applyFill="1" applyBorder="1"/>
    <xf numFmtId="164" fontId="6" fillId="2" borderId="11" xfId="0" applyNumberFormat="1" applyFont="1" applyFill="1" applyBorder="1"/>
    <xf numFmtId="164" fontId="7" fillId="2" borderId="11" xfId="0" applyNumberFormat="1" applyFont="1" applyFill="1" applyBorder="1"/>
    <xf numFmtId="164" fontId="5" fillId="2" borderId="11" xfId="0" applyNumberFormat="1" applyFont="1" applyFill="1" applyBorder="1"/>
    <xf numFmtId="164" fontId="5" fillId="2" borderId="12" xfId="0" applyNumberFormat="1" applyFont="1" applyFill="1" applyBorder="1"/>
    <xf numFmtId="164" fontId="6" fillId="2" borderId="13" xfId="0" applyNumberFormat="1" applyFont="1" applyFill="1" applyBorder="1"/>
    <xf numFmtId="164" fontId="7" fillId="2" borderId="13" xfId="0" applyNumberFormat="1" applyFont="1" applyFill="1" applyBorder="1"/>
    <xf numFmtId="164" fontId="5" fillId="2" borderId="13" xfId="0" applyNumberFormat="1" applyFont="1" applyFill="1" applyBorder="1"/>
    <xf numFmtId="164" fontId="7" fillId="2" borderId="3" xfId="0" applyNumberFormat="1" applyFont="1" applyFill="1" applyBorder="1"/>
    <xf numFmtId="164" fontId="9" fillId="2" borderId="5" xfId="0" applyNumberFormat="1" applyFont="1" applyFill="1" applyBorder="1"/>
    <xf numFmtId="164" fontId="5" fillId="2" borderId="14" xfId="0" applyNumberFormat="1" applyFont="1" applyFill="1" applyBorder="1"/>
    <xf numFmtId="164" fontId="6" fillId="2" borderId="15" xfId="0" applyNumberFormat="1" applyFont="1" applyFill="1" applyBorder="1"/>
    <xf numFmtId="164" fontId="8" fillId="2" borderId="15" xfId="0" applyNumberFormat="1" applyFont="1" applyFill="1" applyBorder="1"/>
    <xf numFmtId="164" fontId="5" fillId="2" borderId="15" xfId="0" applyNumberFormat="1" applyFont="1" applyFill="1" applyBorder="1"/>
    <xf numFmtId="164" fontId="7" fillId="2" borderId="15" xfId="0" applyNumberFormat="1" applyFont="1" applyFill="1" applyBorder="1"/>
    <xf numFmtId="164" fontId="5" fillId="2" borderId="8" xfId="0" applyNumberFormat="1" applyFont="1" applyFill="1" applyBorder="1"/>
    <xf numFmtId="164" fontId="6" fillId="2" borderId="3" xfId="0" applyNumberFormat="1" applyFont="1" applyFill="1" applyBorder="1" applyAlignment="1">
      <alignment horizontal="left" indent="1"/>
    </xf>
    <xf numFmtId="164" fontId="6" fillId="2" borderId="8" xfId="0" applyNumberFormat="1" applyFont="1" applyFill="1" applyBorder="1" applyAlignment="1">
      <alignment horizontal="left" indent="1"/>
    </xf>
    <xf numFmtId="164" fontId="6" fillId="2" borderId="0" xfId="0" applyNumberFormat="1" applyFont="1" applyFill="1" applyAlignment="1">
      <alignment horizontal="left" indent="1"/>
    </xf>
    <xf numFmtId="0" fontId="2" fillId="4" borderId="0" xfId="0" applyFont="1" applyFill="1"/>
    <xf numFmtId="164" fontId="11" fillId="6" borderId="0" xfId="0" applyNumberFormat="1" applyFont="1" applyFill="1"/>
    <xf numFmtId="0" fontId="11" fillId="6" borderId="0" xfId="0" applyFont="1" applyFill="1"/>
    <xf numFmtId="164" fontId="11" fillId="6" borderId="0" xfId="0" applyNumberFormat="1" applyFont="1" applyFill="1" applyAlignment="1">
      <alignment horizontal="right"/>
    </xf>
    <xf numFmtId="9" fontId="2" fillId="2" borderId="0" xfId="1" applyFont="1" applyFill="1"/>
    <xf numFmtId="0" fontId="2" fillId="5" borderId="0" xfId="1" applyNumberFormat="1" applyFont="1" applyFill="1"/>
    <xf numFmtId="0" fontId="2" fillId="5" borderId="0" xfId="1" applyNumberFormat="1" applyFont="1" applyFill="1" applyAlignment="1">
      <alignment horizontal="right"/>
    </xf>
    <xf numFmtId="164" fontId="2" fillId="7" borderId="0" xfId="0" applyNumberFormat="1" applyFont="1" applyFill="1"/>
    <xf numFmtId="164" fontId="0" fillId="5" borderId="0" xfId="0" applyNumberFormat="1" applyFill="1" applyAlignment="1">
      <alignment horizontal="right"/>
    </xf>
    <xf numFmtId="164" fontId="1" fillId="3" borderId="16" xfId="0" applyNumberFormat="1" applyFont="1" applyFill="1" applyBorder="1"/>
    <xf numFmtId="0" fontId="1" fillId="3" borderId="1" xfId="0" applyFont="1" applyFill="1" applyBorder="1"/>
    <xf numFmtId="0" fontId="2" fillId="4" borderId="1" xfId="0" applyFont="1" applyFill="1" applyBorder="1"/>
    <xf numFmtId="0" fontId="2" fillId="4" borderId="17" xfId="0" applyFont="1" applyFill="1" applyBorder="1"/>
    <xf numFmtId="164" fontId="2" fillId="2" borderId="18" xfId="0" applyNumberFormat="1" applyFont="1" applyFill="1" applyBorder="1"/>
    <xf numFmtId="164" fontId="0" fillId="2" borderId="19" xfId="0" applyNumberFormat="1" applyFill="1" applyBorder="1"/>
    <xf numFmtId="164" fontId="2" fillId="2" borderId="20" xfId="0" applyNumberFormat="1" applyFont="1" applyFill="1" applyBorder="1"/>
    <xf numFmtId="164" fontId="0" fillId="2" borderId="21" xfId="0" applyNumberFormat="1" applyFill="1" applyBorder="1" applyAlignment="1">
      <alignment horizontal="right"/>
    </xf>
    <xf numFmtId="9" fontId="0" fillId="2" borderId="21" xfId="1" applyFont="1" applyFill="1" applyBorder="1"/>
    <xf numFmtId="9" fontId="0" fillId="2" borderId="22" xfId="1" applyFont="1" applyFill="1" applyBorder="1"/>
    <xf numFmtId="9" fontId="0" fillId="2" borderId="0" xfId="1" applyFont="1" applyFill="1" applyBorder="1"/>
    <xf numFmtId="164" fontId="0" fillId="2" borderId="21" xfId="0" applyNumberFormat="1" applyFill="1" applyBorder="1"/>
    <xf numFmtId="0" fontId="2" fillId="2" borderId="0" xfId="0" applyFont="1" applyFill="1"/>
    <xf numFmtId="164" fontId="2" fillId="4" borderId="0" xfId="0" applyNumberFormat="1" applyFont="1" applyFill="1"/>
    <xf numFmtId="164" fontId="2" fillId="4" borderId="0" xfId="0" applyNumberFormat="1" applyFont="1" applyFill="1" applyAlignment="1">
      <alignment horizontal="right"/>
    </xf>
    <xf numFmtId="0" fontId="0" fillId="2" borderId="2" xfId="0" applyFill="1" applyBorder="1"/>
    <xf numFmtId="164" fontId="4" fillId="2" borderId="0" xfId="0" applyNumberFormat="1" applyFont="1" applyFill="1"/>
    <xf numFmtId="9" fontId="0" fillId="2" borderId="2" xfId="1" applyFont="1" applyFill="1" applyBorder="1"/>
    <xf numFmtId="164" fontId="2" fillId="8" borderId="0" xfId="0" applyNumberFormat="1" applyFont="1" applyFill="1"/>
    <xf numFmtId="9" fontId="2" fillId="8" borderId="0" xfId="1" applyFont="1" applyFill="1"/>
    <xf numFmtId="164" fontId="4" fillId="8" borderId="0" xfId="0" applyNumberFormat="1" applyFont="1" applyFill="1"/>
    <xf numFmtId="10" fontId="0" fillId="2" borderId="0" xfId="1" applyNumberFormat="1" applyFont="1" applyFill="1"/>
    <xf numFmtId="10" fontId="2" fillId="8" borderId="0" xfId="1" applyNumberFormat="1" applyFont="1" applyFill="1"/>
    <xf numFmtId="164" fontId="1" fillId="2" borderId="0" xfId="0" applyNumberFormat="1" applyFont="1" applyFill="1"/>
    <xf numFmtId="164" fontId="0" fillId="8" borderId="0" xfId="0" applyNumberFormat="1" applyFill="1"/>
    <xf numFmtId="9" fontId="0" fillId="8" borderId="0" xfId="1" applyFont="1" applyFill="1"/>
    <xf numFmtId="0" fontId="5" fillId="5" borderId="5" xfId="0" applyFont="1" applyFill="1" applyBorder="1"/>
    <xf numFmtId="164" fontId="6" fillId="2" borderId="3" xfId="0" applyNumberFormat="1" applyFont="1" applyFill="1" applyBorder="1" applyAlignment="1">
      <alignment horizontal="left" indent="2"/>
    </xf>
    <xf numFmtId="165" fontId="0" fillId="5" borderId="0" xfId="0" applyNumberFormat="1" applyFill="1"/>
    <xf numFmtId="167" fontId="0" fillId="5" borderId="0" xfId="0" applyNumberFormat="1" applyFill="1" applyAlignment="1">
      <alignment horizontal="left" indent="2"/>
    </xf>
    <xf numFmtId="166" fontId="0" fillId="5" borderId="0" xfId="0" applyNumberFormat="1" applyFill="1"/>
    <xf numFmtId="164" fontId="0" fillId="5" borderId="0" xfId="0" applyNumberFormat="1" applyFill="1" applyAlignment="1">
      <alignment wrapText="1"/>
    </xf>
    <xf numFmtId="164" fontId="0" fillId="5" borderId="0" xfId="1" applyNumberFormat="1" applyFont="1" applyFill="1"/>
    <xf numFmtId="9" fontId="2" fillId="7" borderId="0" xfId="1" applyFont="1" applyFill="1"/>
    <xf numFmtId="0" fontId="7" fillId="2" borderId="0" xfId="0" applyFont="1" applyFill="1"/>
    <xf numFmtId="0" fontId="7" fillId="2" borderId="0" xfId="0" applyFont="1" applyFill="1" applyAlignment="1">
      <alignment horizontal="left"/>
    </xf>
    <xf numFmtId="2" fontId="0" fillId="2" borderId="0" xfId="0" applyNumberFormat="1" applyFill="1"/>
    <xf numFmtId="14" fontId="2" fillId="2" borderId="0" xfId="0" applyNumberFormat="1" applyFont="1" applyFill="1"/>
    <xf numFmtId="3" fontId="0" fillId="2" borderId="0" xfId="0" applyNumberFormat="1" applyFill="1"/>
    <xf numFmtId="10" fontId="0" fillId="2" borderId="0" xfId="0" applyNumberFormat="1" applyFill="1" applyAlignment="1">
      <alignment horizontal="right"/>
    </xf>
    <xf numFmtId="3" fontId="0" fillId="2" borderId="0" xfId="0" applyNumberFormat="1" applyFill="1" applyAlignment="1">
      <alignment horizontal="right"/>
    </xf>
    <xf numFmtId="0" fontId="4" fillId="2" borderId="0" xfId="0" applyFont="1" applyFill="1"/>
    <xf numFmtId="10" fontId="2" fillId="4" borderId="0" xfId="0" applyNumberFormat="1" applyFont="1" applyFill="1" applyAlignment="1">
      <alignment horizontal="right"/>
    </xf>
    <xf numFmtId="164" fontId="13" fillId="2" borderId="18" xfId="0" applyNumberFormat="1" applyFont="1" applyFill="1" applyBorder="1" applyAlignment="1">
      <alignment horizontal="left" indent="1"/>
    </xf>
    <xf numFmtId="164" fontId="13" fillId="2" borderId="20" xfId="0" applyNumberFormat="1" applyFont="1" applyFill="1" applyBorder="1" applyAlignment="1">
      <alignment horizontal="left" indent="1"/>
    </xf>
    <xf numFmtId="0" fontId="14" fillId="2" borderId="0" xfId="0" applyFont="1" applyFill="1"/>
    <xf numFmtId="2" fontId="0" fillId="5" borderId="0" xfId="0" applyNumberFormat="1" applyFill="1"/>
    <xf numFmtId="164" fontId="9" fillId="2" borderId="0" xfId="0" applyNumberFormat="1" applyFont="1" applyFill="1"/>
    <xf numFmtId="164" fontId="5" fillId="5" borderId="0" xfId="0" applyNumberFormat="1" applyFont="1" applyFill="1"/>
    <xf numFmtId="164" fontId="6" fillId="5" borderId="0" xfId="0" applyNumberFormat="1" applyFont="1" applyFill="1"/>
    <xf numFmtId="164" fontId="7" fillId="5" borderId="0" xfId="0" applyNumberFormat="1" applyFont="1" applyFill="1"/>
    <xf numFmtId="164" fontId="9" fillId="5" borderId="0" xfId="0" applyNumberFormat="1" applyFont="1" applyFill="1"/>
    <xf numFmtId="164" fontId="4" fillId="5" borderId="0" xfId="0" applyNumberFormat="1" applyFont="1" applyFill="1"/>
    <xf numFmtId="164" fontId="15" fillId="2" borderId="3" xfId="0" applyNumberFormat="1" applyFont="1" applyFill="1" applyBorder="1" applyAlignment="1">
      <alignment horizontal="left" indent="1"/>
    </xf>
    <xf numFmtId="164" fontId="15" fillId="2" borderId="8" xfId="0" applyNumberFormat="1" applyFont="1" applyFill="1" applyBorder="1" applyAlignment="1">
      <alignment horizontal="left" indent="1"/>
    </xf>
    <xf numFmtId="164" fontId="6" fillId="2" borderId="10" xfId="0" applyNumberFormat="1" applyFont="1" applyFill="1" applyBorder="1"/>
    <xf numFmtId="9" fontId="7" fillId="2" borderId="0" xfId="1" applyFont="1" applyFill="1"/>
    <xf numFmtId="0" fontId="3" fillId="4" borderId="0" xfId="1" applyNumberFormat="1" applyFont="1" applyFill="1"/>
    <xf numFmtId="10" fontId="17" fillId="0" borderId="24" xfId="0" applyNumberFormat="1" applyFont="1" applyBorder="1"/>
    <xf numFmtId="10" fontId="17" fillId="0" borderId="23" xfId="0" applyNumberFormat="1" applyFont="1" applyBorder="1"/>
    <xf numFmtId="10" fontId="2" fillId="4" borderId="0" xfId="1" applyNumberFormat="1" applyFont="1" applyFill="1"/>
    <xf numFmtId="0" fontId="8" fillId="5" borderId="0" xfId="0" applyFont="1" applyFill="1"/>
    <xf numFmtId="0" fontId="18" fillId="5" borderId="0" xfId="0" applyFont="1" applyFill="1"/>
    <xf numFmtId="164" fontId="20" fillId="2" borderId="0" xfId="0" applyNumberFormat="1" applyFont="1" applyFill="1"/>
    <xf numFmtId="0" fontId="22" fillId="2" borderId="0" xfId="0" applyFont="1" applyFill="1"/>
    <xf numFmtId="164" fontId="21" fillId="2" borderId="0" xfId="0" applyNumberFormat="1" applyFont="1" applyFill="1"/>
    <xf numFmtId="164" fontId="22" fillId="2" borderId="0" xfId="0" applyNumberFormat="1" applyFont="1" applyFill="1"/>
    <xf numFmtId="164" fontId="23" fillId="2" borderId="0" xfId="0" applyNumberFormat="1" applyFont="1" applyFill="1"/>
    <xf numFmtId="0" fontId="0" fillId="2" borderId="0" xfId="0" applyFill="1" applyAlignment="1">
      <alignment wrapText="1"/>
    </xf>
    <xf numFmtId="164" fontId="0" fillId="2" borderId="0" xfId="0" applyNumberFormat="1" applyFill="1" applyAlignment="1">
      <alignment horizontal="left" wrapText="1"/>
    </xf>
    <xf numFmtId="0" fontId="5" fillId="10" borderId="0" xfId="0" applyFont="1" applyFill="1"/>
    <xf numFmtId="0" fontId="6" fillId="10" borderId="0" xfId="0" applyFont="1" applyFill="1"/>
    <xf numFmtId="0" fontId="6" fillId="10" borderId="3" xfId="0" applyFont="1" applyFill="1" applyBorder="1"/>
    <xf numFmtId="0" fontId="6" fillId="10" borderId="8" xfId="0" applyFont="1" applyFill="1" applyBorder="1"/>
    <xf numFmtId="164" fontId="18" fillId="2" borderId="0" xfId="0" applyNumberFormat="1" applyFont="1" applyFill="1"/>
    <xf numFmtId="164" fontId="15" fillId="2" borderId="0" xfId="0" applyNumberFormat="1" applyFont="1" applyFill="1"/>
    <xf numFmtId="164" fontId="24" fillId="2" borderId="0" xfId="0" applyNumberFormat="1" applyFont="1" applyFill="1"/>
    <xf numFmtId="0" fontId="9" fillId="5" borderId="0" xfId="0" applyFont="1" applyFill="1"/>
    <xf numFmtId="164" fontId="2" fillId="2" borderId="6" xfId="0" applyNumberFormat="1" applyFont="1" applyFill="1" applyBorder="1"/>
    <xf numFmtId="2" fontId="0" fillId="2" borderId="6" xfId="0" applyNumberFormat="1" applyFill="1" applyBorder="1"/>
    <xf numFmtId="164" fontId="1" fillId="3" borderId="0" xfId="0" applyNumberFormat="1" applyFont="1" applyFill="1" applyAlignment="1">
      <alignment horizontal="left"/>
    </xf>
    <xf numFmtId="14" fontId="0" fillId="2" borderId="0" xfId="0" applyNumberFormat="1" applyFill="1"/>
    <xf numFmtId="0" fontId="2" fillId="7" borderId="0" xfId="0" applyFont="1" applyFill="1"/>
    <xf numFmtId="9" fontId="2" fillId="4" borderId="0" xfId="1" applyFont="1" applyFill="1"/>
    <xf numFmtId="14" fontId="2" fillId="5" borderId="0" xfId="0" applyNumberFormat="1" applyFont="1" applyFill="1"/>
    <xf numFmtId="4" fontId="0" fillId="2" borderId="0" xfId="0" applyNumberFormat="1" applyFill="1" applyAlignment="1">
      <alignment horizontal="right"/>
    </xf>
    <xf numFmtId="2" fontId="4" fillId="2" borderId="0" xfId="0" applyNumberFormat="1" applyFont="1" applyFill="1"/>
    <xf numFmtId="167" fontId="7" fillId="9" borderId="0" xfId="0" applyNumberFormat="1" applyFont="1" applyFill="1"/>
    <xf numFmtId="167" fontId="19" fillId="0" borderId="0" xfId="0" applyNumberFormat="1" applyFont="1"/>
    <xf numFmtId="9" fontId="17" fillId="0" borderId="3" xfId="1" applyFont="1" applyBorder="1"/>
    <xf numFmtId="9" fontId="17" fillId="0" borderId="0" xfId="1" applyFont="1"/>
    <xf numFmtId="10" fontId="0" fillId="5" borderId="0" xfId="1" applyNumberFormat="1" applyFont="1" applyFill="1"/>
    <xf numFmtId="0" fontId="0" fillId="2" borderId="0" xfId="0" applyFill="1" applyAlignment="1">
      <alignment horizontal="right"/>
    </xf>
    <xf numFmtId="168" fontId="13" fillId="2" borderId="0" xfId="1" applyNumberFormat="1" applyFont="1" applyFill="1" applyBorder="1"/>
    <xf numFmtId="168" fontId="13" fillId="2" borderId="19" xfId="1" applyNumberFormat="1" applyFont="1" applyFill="1" applyBorder="1"/>
    <xf numFmtId="168" fontId="13" fillId="2" borderId="21" xfId="1" applyNumberFormat="1" applyFont="1" applyFill="1" applyBorder="1"/>
    <xf numFmtId="168" fontId="13" fillId="2" borderId="22" xfId="1" applyNumberFormat="1" applyFont="1" applyFill="1" applyBorder="1"/>
    <xf numFmtId="168" fontId="0" fillId="2" borderId="0" xfId="1" applyNumberFormat="1" applyFont="1" applyFill="1" applyBorder="1"/>
    <xf numFmtId="168" fontId="0" fillId="2" borderId="19" xfId="1" applyNumberFormat="1" applyFont="1" applyFill="1" applyBorder="1"/>
    <xf numFmtId="2" fontId="3" fillId="2" borderId="0" xfId="0" applyNumberFormat="1" applyFont="1" applyFill="1" applyAlignment="1">
      <alignment horizontal="right"/>
    </xf>
    <xf numFmtId="168" fontId="0" fillId="2" borderId="0" xfId="0" applyNumberFormat="1" applyFill="1"/>
    <xf numFmtId="168" fontId="22" fillId="2" borderId="0" xfId="0" applyNumberFormat="1" applyFont="1" applyFill="1"/>
    <xf numFmtId="2" fontId="2" fillId="4" borderId="1" xfId="0" applyNumberFormat="1" applyFont="1" applyFill="1" applyBorder="1"/>
    <xf numFmtId="2" fontId="2" fillId="4" borderId="17" xfId="0" applyNumberFormat="1" applyFont="1" applyFill="1" applyBorder="1"/>
    <xf numFmtId="0" fontId="0" fillId="2" borderId="0" xfId="0" applyFill="1" applyAlignment="1">
      <alignment horizontal="left" wrapText="1"/>
    </xf>
    <xf numFmtId="164" fontId="1" fillId="3" borderId="0" xfId="0" applyNumberFormat="1" applyFont="1" applyFill="1" applyAlignment="1">
      <alignment horizontal="center"/>
    </xf>
    <xf numFmtId="0" fontId="12" fillId="3" borderId="0" xfId="0" applyFont="1" applyFill="1" applyAlignment="1">
      <alignment horizontal="center"/>
    </xf>
    <xf numFmtId="164" fontId="16" fillId="3" borderId="0" xfId="0" applyNumberFormat="1" applyFont="1" applyFill="1" applyAlignment="1">
      <alignment horizontal="center"/>
    </xf>
    <xf numFmtId="0" fontId="0" fillId="2" borderId="0" xfId="0" applyFill="1" applyAlignment="1">
      <alignment horizontal="left" wrapText="1"/>
    </xf>
    <xf numFmtId="0" fontId="2" fillId="2" borderId="0" xfId="0" applyFont="1" applyFill="1" applyAlignment="1">
      <alignment horizontal="left" wrapText="1"/>
    </xf>
  </cellXfs>
  <cellStyles count="3">
    <cellStyle name="Normal" xfId="0" builtinId="0"/>
    <cellStyle name="Normal 2 2" xfId="2" xr:uid="{536E0AA9-9A56-4141-81A8-31AAB31CA4F3}"/>
    <cellStyle name="Percent" xfId="1" builtinId="5"/>
  </cellStyles>
  <dxfs count="0"/>
  <tableStyles count="1" defaultTableStyle="TableStyleMedium2" defaultPivotStyle="PivotStyleLight16">
    <tableStyle name="Invisible" pivot="0" table="0" count="0" xr9:uid="{9036F381-4FC1-4AC2-AF55-301C8F799A29}"/>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Structure" Target="richData/rdrichvaluestructure.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06/relationships/rdRichValue" Target="richData/rdrichvalu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openxmlformats.org/officeDocument/2006/relationships/sharedStrings" Target="sharedString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tyles" Target="styles.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solidFill>
                  <a:schemeClr val="tx1"/>
                </a:solidFill>
              </a:rPr>
              <a:t>Revenue</a:t>
            </a:r>
            <a:r>
              <a:rPr lang="en-US" b="1" baseline="0">
                <a:solidFill>
                  <a:schemeClr val="tx1"/>
                </a:solidFill>
              </a:rPr>
              <a:t> (Actuals and Estimates) 2018-2028</a:t>
            </a:r>
            <a:endParaRPr lang="en-US" b="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rgbClr val="002060"/>
              </a:solidFill>
              <a:round/>
            </a:ln>
            <a:effectLst/>
          </c:spPr>
          <c:marker>
            <c:symbol val="none"/>
          </c:marker>
          <c:trendline>
            <c:spPr>
              <a:ln w="19050" cap="rnd">
                <a:solidFill>
                  <a:schemeClr val="tx1"/>
                </a:solidFill>
                <a:prstDash val="sysDot"/>
              </a:ln>
              <a:effectLst/>
            </c:spPr>
            <c:trendlineType val="linear"/>
            <c:dispRSqr val="0"/>
            <c:dispEq val="0"/>
          </c:trendline>
          <c:cat>
            <c:strRef>
              <c:f>Revenue!$C$3:$M$3</c:f>
              <c:strCache>
                <c:ptCount val="11"/>
                <c:pt idx="0">
                  <c:v>2018</c:v>
                </c:pt>
                <c:pt idx="1">
                  <c:v>2019</c:v>
                </c:pt>
                <c:pt idx="2">
                  <c:v>2020</c:v>
                </c:pt>
                <c:pt idx="3">
                  <c:v>2021</c:v>
                </c:pt>
                <c:pt idx="4">
                  <c:v>2022</c:v>
                </c:pt>
                <c:pt idx="5">
                  <c:v>2023</c:v>
                </c:pt>
                <c:pt idx="6">
                  <c:v>2024E</c:v>
                </c:pt>
                <c:pt idx="7">
                  <c:v>2025E</c:v>
                </c:pt>
                <c:pt idx="8">
                  <c:v>2026E</c:v>
                </c:pt>
                <c:pt idx="9">
                  <c:v>2027E</c:v>
                </c:pt>
                <c:pt idx="10">
                  <c:v>2028E</c:v>
                </c:pt>
              </c:strCache>
            </c:strRef>
          </c:cat>
          <c:val>
            <c:numRef>
              <c:f>Revenue!$C$4:$M$4</c:f>
              <c:numCache>
                <c:formatCode>0.00_);[Red]\(0.00\)</c:formatCode>
                <c:ptCount val="11"/>
                <c:pt idx="0">
                  <c:v>2460</c:v>
                </c:pt>
                <c:pt idx="1">
                  <c:v>1841</c:v>
                </c:pt>
                <c:pt idx="2">
                  <c:v>1517</c:v>
                </c:pt>
                <c:pt idx="3">
                  <c:v>4123</c:v>
                </c:pt>
                <c:pt idx="4">
                  <c:v>3463</c:v>
                </c:pt>
                <c:pt idx="5">
                  <c:v>2917</c:v>
                </c:pt>
                <c:pt idx="6">
                  <c:v>2625.3</c:v>
                </c:pt>
                <c:pt idx="7">
                  <c:v>2756.5650000000005</c:v>
                </c:pt>
                <c:pt idx="8">
                  <c:v>3018.4386750000003</c:v>
                </c:pt>
                <c:pt idx="9">
                  <c:v>3320.2825425000005</c:v>
                </c:pt>
                <c:pt idx="10">
                  <c:v>3585.9051459000007</c:v>
                </c:pt>
              </c:numCache>
            </c:numRef>
          </c:val>
          <c:smooth val="0"/>
          <c:extLst>
            <c:ext xmlns:c16="http://schemas.microsoft.com/office/drawing/2014/chart" uri="{C3380CC4-5D6E-409C-BE32-E72D297353CC}">
              <c16:uniqueId val="{00000001-5770-6141-8406-FBB4D63A9146}"/>
            </c:ext>
          </c:extLst>
        </c:ser>
        <c:dLbls>
          <c:showLegendKey val="0"/>
          <c:showVal val="0"/>
          <c:showCatName val="0"/>
          <c:showSerName val="0"/>
          <c:showPercent val="0"/>
          <c:showBubbleSize val="0"/>
        </c:dLbls>
        <c:smooth val="0"/>
        <c:axId val="1446399312"/>
        <c:axId val="1446711472"/>
      </c:lineChart>
      <c:catAx>
        <c:axId val="1446399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900" b="0" i="0" u="none" strike="noStrike" kern="1200" baseline="0">
                <a:solidFill>
                  <a:schemeClr val="tx1"/>
                </a:solidFill>
                <a:latin typeface="+mn-lt"/>
                <a:ea typeface="+mn-ea"/>
                <a:cs typeface="+mn-cs"/>
              </a:defRPr>
            </a:pPr>
            <a:endParaRPr lang="en-US"/>
          </a:p>
        </c:txPr>
        <c:crossAx val="1446711472"/>
        <c:crosses val="autoZero"/>
        <c:auto val="1"/>
        <c:lblAlgn val="ctr"/>
        <c:lblOffset val="100"/>
        <c:noMultiLvlLbl val="0"/>
      </c:catAx>
      <c:valAx>
        <c:axId val="14467114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solidFill>
                      <a:schemeClr val="tx1"/>
                    </a:solidFill>
                  </a:rPr>
                  <a:t>Revenue</a:t>
                </a:r>
                <a:r>
                  <a:rPr lang="en-US" baseline="0">
                    <a:solidFill>
                      <a:schemeClr val="tx1"/>
                    </a:solidFill>
                  </a:rPr>
                  <a:t> (in million USD)</a:t>
                </a:r>
                <a:endParaRPr lang="en-US">
                  <a:solidFill>
                    <a:schemeClr val="tx1"/>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_);[Red]\(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446399312"/>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NWC Analysis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cked"/>
        <c:varyColors val="0"/>
        <c:ser>
          <c:idx val="0"/>
          <c:order val="0"/>
          <c:tx>
            <c:strRef>
              <c:f>'Balance Sheet'!$B$77</c:f>
              <c:strCache>
                <c:ptCount val="1"/>
                <c:pt idx="0">
                  <c:v>CA/Sales</c:v>
                </c:pt>
              </c:strCache>
            </c:strRef>
          </c:tx>
          <c:spPr>
            <a:ln w="28575" cap="rnd">
              <a:solidFill>
                <a:schemeClr val="accent1"/>
              </a:solidFill>
              <a:round/>
            </a:ln>
            <a:effectLst/>
          </c:spPr>
          <c:marker>
            <c:symbol val="none"/>
          </c:marker>
          <c:val>
            <c:numRef>
              <c:f>'Balance Sheet'!$D$77:$H$77</c:f>
              <c:numCache>
                <c:formatCode>0%</c:formatCode>
                <c:ptCount val="5"/>
                <c:pt idx="0">
                  <c:v>0.35687126561651278</c:v>
                </c:pt>
                <c:pt idx="1">
                  <c:v>0.48253131179960446</c:v>
                </c:pt>
                <c:pt idx="2">
                  <c:v>0.25709434877516374</c:v>
                </c:pt>
                <c:pt idx="3">
                  <c:v>0.28501299451342765</c:v>
                </c:pt>
                <c:pt idx="4">
                  <c:v>0.36030167980802191</c:v>
                </c:pt>
              </c:numCache>
            </c:numRef>
          </c:val>
          <c:smooth val="0"/>
          <c:extLst>
            <c:ext xmlns:c16="http://schemas.microsoft.com/office/drawing/2014/chart" uri="{C3380CC4-5D6E-409C-BE32-E72D297353CC}">
              <c16:uniqueId val="{00000001-2FCF-47A3-A884-1BD6D5411E7E}"/>
            </c:ext>
          </c:extLst>
        </c:ser>
        <c:ser>
          <c:idx val="1"/>
          <c:order val="1"/>
          <c:tx>
            <c:strRef>
              <c:f>'Balance Sheet'!$B$78</c:f>
              <c:strCache>
                <c:ptCount val="1"/>
                <c:pt idx="0">
                  <c:v>CL/Sales</c:v>
                </c:pt>
              </c:strCache>
            </c:strRef>
          </c:tx>
          <c:spPr>
            <a:ln w="28575" cap="rnd">
              <a:solidFill>
                <a:schemeClr val="accent2"/>
              </a:solidFill>
              <a:round/>
            </a:ln>
            <a:effectLst/>
          </c:spPr>
          <c:marker>
            <c:symbol val="none"/>
          </c:marker>
          <c:val>
            <c:numRef>
              <c:f>'Balance Sheet'!$D$78:$H$78</c:f>
              <c:numCache>
                <c:formatCode>0%</c:formatCode>
                <c:ptCount val="5"/>
                <c:pt idx="0">
                  <c:v>0.28299837045084192</c:v>
                </c:pt>
                <c:pt idx="1">
                  <c:v>0.55833882663150958</c:v>
                </c:pt>
                <c:pt idx="2">
                  <c:v>0.30511763279165655</c:v>
                </c:pt>
                <c:pt idx="3">
                  <c:v>0.26162287034363269</c:v>
                </c:pt>
                <c:pt idx="4">
                  <c:v>0.31367843675008572</c:v>
                </c:pt>
              </c:numCache>
            </c:numRef>
          </c:val>
          <c:smooth val="0"/>
          <c:extLst>
            <c:ext xmlns:c16="http://schemas.microsoft.com/office/drawing/2014/chart" uri="{C3380CC4-5D6E-409C-BE32-E72D297353CC}">
              <c16:uniqueId val="{00000003-2FCF-47A3-A884-1BD6D5411E7E}"/>
            </c:ext>
          </c:extLst>
        </c:ser>
        <c:dLbls>
          <c:showLegendKey val="0"/>
          <c:showVal val="0"/>
          <c:showCatName val="0"/>
          <c:showSerName val="0"/>
          <c:showPercent val="0"/>
          <c:showBubbleSize val="0"/>
        </c:dLbls>
        <c:smooth val="0"/>
        <c:axId val="352028167"/>
        <c:axId val="352030215"/>
      </c:lineChart>
      <c:catAx>
        <c:axId val="352028167"/>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030215"/>
        <c:crosses val="autoZero"/>
        <c:auto val="1"/>
        <c:lblAlgn val="ctr"/>
        <c:lblOffset val="100"/>
        <c:noMultiLvlLbl val="0"/>
      </c:catAx>
      <c:valAx>
        <c:axId val="352030215"/>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02816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Revenue!$B$22</c:f>
              <c:strCache>
                <c:ptCount val="1"/>
                <c:pt idx="0">
                  <c:v>Revenue</c:v>
                </c:pt>
              </c:strCache>
            </c:strRef>
          </c:tx>
          <c:spPr>
            <a:ln w="28575" cap="rnd">
              <a:solidFill>
                <a:schemeClr val="accent1"/>
              </a:solidFill>
              <a:round/>
            </a:ln>
            <a:effectLst/>
          </c:spPr>
          <c:marker>
            <c:symbol val="none"/>
          </c:marker>
          <c:trendline>
            <c:spPr>
              <a:ln w="19050" cap="rnd">
                <a:solidFill>
                  <a:schemeClr val="accent1"/>
                </a:solidFill>
                <a:prstDash val="sysDot"/>
              </a:ln>
              <a:effectLst/>
            </c:spPr>
            <c:trendlineType val="linear"/>
            <c:dispRSqr val="1"/>
            <c:dispEq val="1"/>
            <c:trendlineLbl>
              <c:layout>
                <c:manualLayout>
                  <c:x val="2.3718941382327208E-2"/>
                  <c:y val="-0.23997083697871099"/>
                </c:manualLayout>
              </c:layout>
              <c:numFmt formatCode="General" sourceLinked="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trendlineLbl>
          </c:trendline>
          <c:cat>
            <c:numRef>
              <c:f>Revenue!$C$21:$H$21</c:f>
              <c:numCache>
                <c:formatCode>General</c:formatCode>
                <c:ptCount val="6"/>
                <c:pt idx="0">
                  <c:v>2018</c:v>
                </c:pt>
                <c:pt idx="1">
                  <c:v>2019</c:v>
                </c:pt>
                <c:pt idx="2">
                  <c:v>2020</c:v>
                </c:pt>
                <c:pt idx="3">
                  <c:v>2021</c:v>
                </c:pt>
                <c:pt idx="4">
                  <c:v>2022</c:v>
                </c:pt>
                <c:pt idx="5">
                  <c:v>2023</c:v>
                </c:pt>
              </c:numCache>
            </c:numRef>
          </c:cat>
          <c:val>
            <c:numRef>
              <c:f>Revenue!$C$22:$H$22</c:f>
              <c:numCache>
                <c:formatCode>0.00_);[Red]\(0.00\)</c:formatCode>
                <c:ptCount val="6"/>
                <c:pt idx="0">
                  <c:v>2460</c:v>
                </c:pt>
                <c:pt idx="1">
                  <c:v>1841</c:v>
                </c:pt>
                <c:pt idx="2">
                  <c:v>1517</c:v>
                </c:pt>
                <c:pt idx="3">
                  <c:v>4123</c:v>
                </c:pt>
                <c:pt idx="4">
                  <c:v>3463</c:v>
                </c:pt>
                <c:pt idx="5">
                  <c:v>2917</c:v>
                </c:pt>
              </c:numCache>
            </c:numRef>
          </c:val>
          <c:smooth val="0"/>
          <c:extLst>
            <c:ext xmlns:c16="http://schemas.microsoft.com/office/drawing/2014/chart" uri="{C3380CC4-5D6E-409C-BE32-E72D297353CC}">
              <c16:uniqueId val="{00000000-7DB9-6D46-9AD0-CB5438FAD14A}"/>
            </c:ext>
          </c:extLst>
        </c:ser>
        <c:dLbls>
          <c:showLegendKey val="0"/>
          <c:showVal val="0"/>
          <c:showCatName val="0"/>
          <c:showSerName val="0"/>
          <c:showPercent val="0"/>
          <c:showBubbleSize val="0"/>
        </c:dLbls>
        <c:smooth val="0"/>
        <c:axId val="254484335"/>
        <c:axId val="254486047"/>
      </c:lineChart>
      <c:catAx>
        <c:axId val="254484335"/>
        <c:scaling>
          <c:orientation val="minMax"/>
        </c:scaling>
        <c:delete val="0"/>
        <c:axPos val="b"/>
        <c:title>
          <c:tx>
            <c:rich>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r>
                  <a:rPr lang="en-US"/>
                  <a:t>Years</a:t>
                </a:r>
              </a:p>
            </c:rich>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254486047"/>
        <c:crosses val="autoZero"/>
        <c:auto val="1"/>
        <c:lblAlgn val="ctr"/>
        <c:lblOffset val="100"/>
        <c:noMultiLvlLbl val="0"/>
      </c:catAx>
      <c:valAx>
        <c:axId val="25448604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r>
                  <a:rPr lang="en-US"/>
                  <a:t>Revenue</a:t>
                </a:r>
              </a:p>
            </c:rich>
          </c:tx>
          <c:overlay val="0"/>
          <c:spPr>
            <a:noFill/>
            <a:ln>
              <a:noFill/>
            </a:ln>
            <a:effectLst/>
          </c:spPr>
          <c:txPr>
            <a:bodyPr rot="-5400000" spcFirstLastPara="1" vertOverflow="ellipsis" vert="horz" wrap="square" anchor="ctr" anchorCtr="1"/>
            <a:lstStyle/>
            <a:p>
              <a:pPr>
                <a:defRPr sz="1000" b="1" i="0" u="none" strike="noStrike" kern="1200" baseline="0">
                  <a:solidFill>
                    <a:schemeClr val="tx1">
                      <a:lumMod val="65000"/>
                      <a:lumOff val="35000"/>
                    </a:schemeClr>
                  </a:solidFill>
                  <a:latin typeface="+mn-lt"/>
                  <a:ea typeface="+mn-ea"/>
                  <a:cs typeface="+mn-cs"/>
                </a:defRPr>
              </a:pPr>
              <a:endParaRPr lang="en-US"/>
            </a:p>
          </c:txPr>
        </c:title>
        <c:numFmt formatCode="0.00_);[Red]\(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254484335"/>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b="1"/>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2</xdr:col>
      <xdr:colOff>823146</xdr:colOff>
      <xdr:row>22</xdr:row>
      <xdr:rowOff>35277</xdr:rowOff>
    </xdr:from>
    <xdr:to>
      <xdr:col>6</xdr:col>
      <xdr:colOff>1258241</xdr:colOff>
      <xdr:row>37</xdr:row>
      <xdr:rowOff>62089</xdr:rowOff>
    </xdr:to>
    <xdr:graphicFrame macro="">
      <xdr:nvGraphicFramePr>
        <xdr:cNvPr id="2" name="Chart 1">
          <a:extLst>
            <a:ext uri="{FF2B5EF4-FFF2-40B4-BE49-F238E27FC236}">
              <a16:creationId xmlns:a16="http://schemas.microsoft.com/office/drawing/2014/main" id="{7BF8F8B7-3680-EA4B-ADCC-F681F9B629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193040</xdr:colOff>
      <xdr:row>70</xdr:row>
      <xdr:rowOff>0</xdr:rowOff>
    </xdr:from>
    <xdr:to>
      <xdr:col>12</xdr:col>
      <xdr:colOff>83820</xdr:colOff>
      <xdr:row>80</xdr:row>
      <xdr:rowOff>182880</xdr:rowOff>
    </xdr:to>
    <xdr:graphicFrame macro="">
      <xdr:nvGraphicFramePr>
        <xdr:cNvPr id="12" name="Chart 2">
          <a:extLst>
            <a:ext uri="{FF2B5EF4-FFF2-40B4-BE49-F238E27FC236}">
              <a16:creationId xmlns:a16="http://schemas.microsoft.com/office/drawing/2014/main" id="{1C6258E6-10E8-F06E-9B7C-906C1D32D4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1209675</xdr:colOff>
      <xdr:row>83</xdr:row>
      <xdr:rowOff>123825</xdr:rowOff>
    </xdr:from>
    <xdr:to>
      <xdr:col>8</xdr:col>
      <xdr:colOff>619125</xdr:colOff>
      <xdr:row>83</xdr:row>
      <xdr:rowOff>123825</xdr:rowOff>
    </xdr:to>
    <xdr:cxnSp macro="">
      <xdr:nvCxnSpPr>
        <xdr:cNvPr id="15" name="Straight Connector 1">
          <a:extLst>
            <a:ext uri="{FF2B5EF4-FFF2-40B4-BE49-F238E27FC236}">
              <a16:creationId xmlns:a16="http://schemas.microsoft.com/office/drawing/2014/main" id="{2B9B9AC3-D9AA-A251-DC92-930264343E1C}"/>
            </a:ext>
            <a:ext uri="{147F2762-F138-4A5C-976F-8EAC2B608ADB}">
              <a16:predDERef xmlns:a16="http://schemas.microsoft.com/office/drawing/2014/main" pred="{1C6258E6-10E8-F06E-9B7C-906C1D32D449}"/>
            </a:ext>
          </a:extLst>
        </xdr:cNvPr>
        <xdr:cNvCxnSpPr>
          <a:cxnSpLocks/>
        </xdr:cNvCxnSpPr>
      </xdr:nvCxnSpPr>
      <xdr:spPr>
        <a:xfrm>
          <a:off x="1466850" y="12353925"/>
          <a:ext cx="7724775" cy="0"/>
        </a:xfrm>
        <a:prstGeom prst="line">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383567</xdr:colOff>
      <xdr:row>24</xdr:row>
      <xdr:rowOff>189825</xdr:rowOff>
    </xdr:from>
    <xdr:to>
      <xdr:col>12</xdr:col>
      <xdr:colOff>814556</xdr:colOff>
      <xdr:row>40</xdr:row>
      <xdr:rowOff>50665</xdr:rowOff>
    </xdr:to>
    <xdr:graphicFrame macro="">
      <xdr:nvGraphicFramePr>
        <xdr:cNvPr id="15" name="Chart 14">
          <a:extLst>
            <a:ext uri="{FF2B5EF4-FFF2-40B4-BE49-F238E27FC236}">
              <a16:creationId xmlns:a16="http://schemas.microsoft.com/office/drawing/2014/main" id="{4B275737-E647-7DC1-233C-E37C41D4CC3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Guest User" id="{667A8D58-BFAE-824E-9CAE-23104E4573A8}" userId="" providerId="Windows Live"/>
  <person displayName="Fatehbir Singh Sohu" id="{84555D1C-288B-554E-9C8F-292A5777EAAA}" userId="Fatehbir Singh Sohu" providerId="None"/>
</personList>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
      <keyFlags>
        <key name="%cvi">
          <flag name="ShowInCardView" value="0"/>
          <flag name="ShowInDotNotation" value="0"/>
          <flag name="ShowInAutoComplete" value="0"/>
          <flag name="ExcludeFromCalcComparison" value="1"/>
        </key>
      </keyFlags>
    </type>
    <type name="_linkedentitycore">
      <keyFlags>
        <key name="%EntityServiceId">
          <flag name="ShowInCardView" value="0"/>
          <flag name="ShowInDotNotation" value="0"/>
          <flag name="ShowInAutoComplete" value="0"/>
        </key>
        <key name="%EntitySubDomain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s>
</rvTypesInfo>
</file>

<file path=xl/richData/rdrichvalue.xml><?xml version="1.0" encoding="utf-8"?>
<rvData xmlns="http://schemas.microsoft.com/office/spreadsheetml/2017/richdata" count="3">
  <rv s="0">
    <v>https://www.bing.com/financeapi/forcetrigger?t=axfwar&amp;q=XTSE%3aSTLC&amp;form=skydnc</v>
    <v>Learn more on Bing</v>
  </rv>
  <rv s="1">
    <v>0</v>
    <v>Stelco Holdings Inc. (XTSE:STLC)</v>
    <v>2</v>
    <v>3</v>
    <v>Finance</v>
    <v>4</v>
    <v>en-US</v>
    <v>axfwar</v>
    <v>268435456</v>
    <v>1</v>
    <v>1</v>
    <v>Powered by Refinitiv</v>
    <v>67.290000000000006</v>
    <v>30.715299999999999</v>
    <v>2.7831000000000001</v>
    <v>0.33</v>
    <v>4.9419999999999993E-3</v>
    <v>CAD</v>
    <v>Stelco Holdings Inc. is a Canada-based integrated and independent steelmaker with advanced integrated steelmaking facilities in North America. The Company is engaged in the production and sale of steel products. It produces flat-rolled value-added steels, including coated, cold-rolled and hot-rolled steel products, as well as pig iron and metallurgical coke. With its gauge, crown, and shape control, as well as uniform through-coil mechanical properties, the Company’s steel products are supplied to customers in the construction, automotive, energy, appliance, and pipe and tube industries across Canada and the United States as well as to a variety of steel service centers, which are distributors of steel products. The Company operates from two facilities: Lake Erie Works (LEW) near Nanticoke, Ontario and Hamilton Works (HW) in Hamilton, Ontario.</v>
    <v>2421</v>
    <v>Toronto Stock Exchange</v>
    <v>XTSE</v>
    <v>XTSE</v>
    <v>386 Wilcox St, HAMILTON, ON, L8L 8K5 CA</v>
    <v>67.25</v>
    <v>Metals &amp; Mining</v>
    <v>Stock</v>
    <v>45569.73128472222</v>
    <v>0</v>
    <v>66.989999999999995</v>
    <v>3654031452</v>
    <v>Stelco Holdings Inc.</v>
    <v>Stelco Holdings Inc.</v>
    <v>67.12</v>
    <v>21.235900000000001</v>
    <v>66.78</v>
    <v>67.11</v>
    <v>54448390</v>
    <v>STLC</v>
    <v>Stelco Holdings Inc. (XTSE:STLC)</v>
    <v>31707</v>
    <v>214240</v>
    <v>2017</v>
  </rv>
  <rv s="2">
    <v>1</v>
  </rv>
</rvData>
</file>

<file path=xl/richData/rdrichvaluestructure.xml><?xml version="1.0" encoding="utf-8"?>
<rvStructures xmlns="http://schemas.microsoft.com/office/spreadsheetml/2017/richdata" count="3">
  <s t="_hyperlink">
    <k n="Address" t="s"/>
    <k n="Text" t="s"/>
  </s>
  <s t="_linkedentitycore">
    <k n="_Display" t="spb"/>
    <k n="_DisplayString" t="s"/>
    <k n="_Flags" t="spb"/>
    <k n="_Format" t="spb"/>
    <k n="_Icon" t="s"/>
    <k n="_SubLabel" t="spb"/>
    <k n="%EntityCulture" t="s"/>
    <k n="%EntityId" t="s"/>
    <k n="%EntityServiceId"/>
    <k n="%IsRefreshable" t="b"/>
    <k n="%OutdatedReason" t="i"/>
    <k n="%ProviderInfo" t="s"/>
    <k n="52 week high"/>
    <k n="52 week low"/>
    <k n="Beta"/>
    <k n="Change"/>
    <k n="Change (%)"/>
    <k n="Currency" t="s"/>
    <k n="Description" t="s"/>
    <k n="Employees"/>
    <k n="Exchange" t="s"/>
    <k n="Exchange abbreviation" t="s"/>
    <k n="ExchangeID" t="s"/>
    <k n="Headquarters" t="s"/>
    <k n="High"/>
    <k n="Industry" t="s"/>
    <k n="Instrument type" t="s"/>
    <k n="Last trade time"/>
    <k n="LearnMoreOnLink" t="r"/>
    <k n="Low"/>
    <k n="Market cap"/>
    <k n="Name" t="s"/>
    <k n="Official name" t="s"/>
    <k n="Open"/>
    <k n="P/E"/>
    <k n="Previous close"/>
    <k n="Price"/>
    <k n="Shares outstanding"/>
    <k n="Ticker symbol" t="s"/>
    <k n="UniqueName" t="s"/>
    <k n="Volume"/>
    <k n="Volume average"/>
    <k n="Year incorporated"/>
  </s>
  <s t="_linkedentity">
    <k n="%cvi" t="r"/>
  </s>
</rvStructures>
</file>

<file path=xl/richData/rdsupportingpropertybag.xml><?xml version="1.0" encoding="utf-8"?>
<supportingPropertyBags xmlns="http://schemas.microsoft.com/office/spreadsheetml/2017/richdata2">
  <spbArrays count="1">
    <a count="43">
      <v t="s">%EntityServiceId</v>
      <v t="s">_Format</v>
      <v t="s">%IsRefreshable</v>
      <v t="s">%EntityCulture</v>
      <v t="s">%EntityId</v>
      <v t="s">_Icon</v>
      <v t="s">_Display</v>
      <v t="s">Name</v>
      <v t="s">_SubLabel</v>
      <v t="s">Price</v>
      <v t="s">Exchange</v>
      <v t="s">Official name</v>
      <v t="s">Last trade time</v>
      <v t="s">Ticker symbol</v>
      <v t="s">Exchange abbreviation</v>
      <v t="s">Change</v>
      <v t="s">Change (%)</v>
      <v t="s">Currency</v>
      <v t="s">Previous close</v>
      <v t="s">Open</v>
      <v t="s">High</v>
      <v t="s">Low</v>
      <v t="s">52 week high</v>
      <v t="s">52 week low</v>
      <v t="s">Volume</v>
      <v t="s">Volume average</v>
      <v t="s">Market cap</v>
      <v t="s">Beta</v>
      <v t="s">P/E</v>
      <v t="s">Shares outstanding</v>
      <v t="s">Description</v>
      <v t="s">Employees</v>
      <v t="s">Headquarters</v>
      <v t="s">Industry</v>
      <v t="s">Instrument type</v>
      <v t="s">Year incorporated</v>
      <v t="s">_Flags</v>
      <v t="s">UniqueName</v>
      <v t="s">_DisplayString</v>
      <v t="s">LearnMoreOnLink</v>
      <v t="s">ExchangeID</v>
      <v t="s">%ProviderInfo</v>
      <v t="s">%OutdatedReason</v>
    </a>
  </spbArrays>
  <spbData count="5">
    <spb s="0">
      <v>0</v>
      <v>Name</v>
      <v>LearnMoreOnLink</v>
    </spb>
    <spb s="1">
      <v>0</v>
      <v>0</v>
      <v>0</v>
    </spb>
    <spb s="2">
      <v>1</v>
      <v>1</v>
      <v>1</v>
      <v>1</v>
    </spb>
    <spb s="3">
      <v>1</v>
      <v>2</v>
      <v>2</v>
      <v>1</v>
      <v>3</v>
      <v>1</v>
      <v>1</v>
      <v>1</v>
      <v>4</v>
      <v>4</v>
      <v>5</v>
      <v>6</v>
      <v>1</v>
      <v>1</v>
      <v>1</v>
      <v>4</v>
      <v>7</v>
      <v>8</v>
      <v>9</v>
      <v>4</v>
    </spb>
    <spb s="4">
      <v>Delayed 20 minutes</v>
      <v>from previous close</v>
      <v>from previous close</v>
      <v>GMT</v>
    </spb>
  </spbData>
</supportingPropertyBags>
</file>

<file path=xl/richData/rdsupportingpropertybagstructure.xml><?xml version="1.0" encoding="utf-8"?>
<spbStructures xmlns="http://schemas.microsoft.com/office/spreadsheetml/2017/richdata2" count="5">
  <s>
    <k n="^Order" t="spba"/>
    <k n="TitleProperty" t="s"/>
    <k n="SubTitleProperty" t="s"/>
  </s>
  <s>
    <k n="ShowInCardView" t="b"/>
    <k n="ShowInDotNotation" t="b"/>
    <k n="ShowInAutoComplete" t="b"/>
  </s>
  <s>
    <k n="ExchangeID" t="spb"/>
    <k n="UniqueName" t="spb"/>
    <k n="`%ProviderInfo" t="spb"/>
    <k n="LearnMoreOnLink" t="spb"/>
  </s>
  <s>
    <k n="Low" t="i"/>
    <k n="P/E" t="i"/>
    <k n="Beta" t="i"/>
    <k n="High" t="i"/>
    <k n="Name" t="i"/>
    <k n="Open" t="i"/>
    <k n="Price" t="i"/>
    <k n="Change" t="i"/>
    <k n="Volume" t="i"/>
    <k n="Employees" t="i"/>
    <k n="Change (%)" t="i"/>
    <k n="Market cap" t="i"/>
    <k n="52 week low" t="i"/>
    <k n="52 week high" t="i"/>
    <k n="Previous close" t="i"/>
    <k n="Volume average" t="i"/>
    <k n="Last trade time" t="i"/>
    <k n="Year incorporated" t="i"/>
    <k n="`%EntityServiceId" t="i"/>
    <k n="Shares outstanding" t="i"/>
  </s>
  <s>
    <k n="Price" t="s"/>
    <k n="Change" t="s"/>
    <k n="Change (%)" t="s"/>
    <k n="Last trade time"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7">
    <x:dxf>
      <x:numFmt numFmtId="2" formatCode="0.00"/>
    </x:dxf>
    <x:dxf>
      <x:numFmt numFmtId="0" formatCode="General"/>
    </x:dxf>
    <x:dxf>
      <x:numFmt numFmtId="27" formatCode="yyyy/mm/dd\ h:mm"/>
    </x:dxf>
    <x:dxf>
      <x:numFmt numFmtId="14" formatCode="0.00%"/>
    </x:dxf>
    <x:dxf>
      <x:numFmt numFmtId="3" formatCode="#,##0"/>
    </x:dxf>
    <x:dxf>
      <x:numFmt numFmtId="4" formatCode="#,##0.00"/>
    </x:dxf>
    <x:dxf>
      <x:numFmt numFmtId="1" formatCode="0"/>
    </x:dxf>
  </dxfs>
  <richProperties>
    <rPr n="NumberFormat" t="s"/>
    <rPr n="IsTitleField" t="b"/>
  </richProperties>
  <richStyles>
    <rSty dxfid="1">
      <rpv i="0">_-[$$-en-CA]* #,##0.00_-;-[$$-en-CA]* #,##0.00_-;_-[$$-en-CA]* "-"??_-;_-@_-</rpv>
    </rSty>
    <rSty dxfid="5">
      <rpv i="0">#,##0.00</rpv>
    </rSty>
    <rSty>
      <rpv i="1">1</rpv>
    </rSty>
    <rSty dxfid="4">
      <rpv i="0">#,##0</rpv>
    </rSty>
    <rSty dxfid="3"/>
    <rSty dxfid="1">
      <rpv i="0">_-[$$-en-CA]* #,##0_-;-[$$-en-CA]* #,##0_-;_-[$$-en-CA]* "-"_-;_-@_-</rpv>
    </rSty>
    <rSty dxfid="2"/>
    <rSty dxfid="6">
      <rpv i="0">0</rpv>
    </rSty>
    <rSty dxfid="0">
      <rpv i="0">0.00</rpv>
    </rSty>
  </richStyles>
</rich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3" dT="2024-08-15T03:28:36.29" personId="{84555D1C-288B-554E-9C8F-292A5777EAAA}" id="{E86EA363-D5F1-B642-A5E8-A6EE2C4BE740}">
    <text>Change in CAPEX = Closing Fixed Assets - Opening Fixed Assets</text>
  </threadedComment>
  <threadedComment ref="B14" dT="2024-08-15T03:24:35.56" personId="{84555D1C-288B-554E-9C8F-292A5777EAAA}" id="{30E9956D-681F-6249-A1B9-80575B9F3A15}">
    <text>Change in NWC = Closing NWC - Opening NWC</text>
  </threadedComment>
  <threadedComment ref="B32" dT="2024-08-01T03:09:33.87" personId="{84555D1C-288B-554E-9C8F-292A5777EAAA}" id="{B1AE5CB2-95BB-E04D-A4A1-13F876F88FE3}">
    <text>The switch can be changed as per expectations.
Revenue switch 1: implies Conservative growth revenue scenario.
Revenue Switch 2: implies Base growth revenue scenario which is the average of the Historical revenue growth and the Street estimate growth rate by 6 analysts.
Revenue switch 3: implies the Optimistic revenue growth rate.</text>
  </threadedComment>
  <threadedComment ref="B35" dT="2024-08-17T18:34:15.87" personId="{84555D1C-288B-554E-9C8F-292A5777EAAA}" id="{FD856522-A225-1446-B7A7-F2EFA789BBA0}">
    <text>Deviation is included because this financial model does includes updates regarding the quarterly results of the company.</text>
  </threadedComment>
</ThreadedComments>
</file>

<file path=xl/threadedComments/threadedComment2.xml><?xml version="1.0" encoding="utf-8"?>
<ThreadedComments xmlns="http://schemas.microsoft.com/office/spreadsheetml/2018/threadedcomments" xmlns:x="http://schemas.openxmlformats.org/spreadsheetml/2006/main">
  <threadedComment ref="B16" dT="2024-07-29T01:44:09.09" personId="{84555D1C-288B-554E-9C8F-292A5777EAAA}" id="{85ECA302-4196-2748-894A-AEB77D1A15A5}">
    <text>Joint Venture company is consistently delivering higher returns year-on-year basis consistently. Therefore, assumed it to provide $4 million dollars of Income under the equity investment method of inter-corporate investments by 2029.</text>
  </threadedComment>
  <threadedComment ref="B20" dT="2024-07-30T01:32:42.87" personId="{84555D1C-288B-554E-9C8F-292A5777EAAA}" id="{B110B682-1CF9-C644-9B32-EC23FEEF3466}">
    <text>Deferred income tax expenses is assumed to remain 0 for the forecasted period. Therefore, the DTA and DTL will remain constant for the forecasted period.</text>
  </threadedComment>
  <threadedComment ref="B43" dT="2024-07-28T22:00:00.99" personId="{84555D1C-288B-554E-9C8F-292A5777EAAA}" id="{AE894915-F323-7E4D-9E61-02484D52EDDA}">
    <text>It is consistent at $9 million dollars for all the past 5 years (given on page 21 of the 2023 annual reports and similarly in other annual reports), therefore, it is assumed to remain constant for the forecasted period.</text>
  </threadedComment>
  <threadedComment ref="C45" dT="2024-07-28T23:17:15.10" personId="{84555D1C-288B-554E-9C8F-292A5777EAAA}" id="{74901C43-6051-B046-B473-2B40852CCFB7}">
    <text>Interest on Current ABL is taken for year-end rather than mid-year Current ABL to make the calculation simpler.</text>
  </threadedComment>
  <threadedComment ref="B51" dT="2024-07-28T06:03:44.60" personId="{84555D1C-288B-554E-9C8F-292A5777EAAA}" id="{36BF1AF3-D5C3-8643-8F1A-025A3DA60DBB}">
    <text>Assuming no DTL and DTA in the projections</text>
  </threadedComment>
</ThreadedComments>
</file>

<file path=xl/threadedComments/threadedComment3.xml><?xml version="1.0" encoding="utf-8"?>
<ThreadedComments xmlns="http://schemas.microsoft.com/office/spreadsheetml/2018/threadedcomments" xmlns:x="http://schemas.openxmlformats.org/spreadsheetml/2006/main">
  <threadedComment ref="B8" dT="2024-07-28T07:44:29.26" personId="{84555D1C-288B-554E-9C8F-292A5777EAAA}" id="{D0F8FE6B-1BC7-B64F-9A25-D6DBDD24CA0E}">
    <text>Includes Receivable purchase agreements (which is directly related to Trade receivables, thus, related to the revenue changes) and Ontario Ministry of the environment, conservation and parks (which is not related to changes in revenue but for the sake of simplicity assumed to be related to revenue changes)</text>
  </threadedComment>
  <threadedComment ref="B15" dT="2024-08-17T18:35:34.81" personId="{84555D1C-288B-554E-9C8F-292A5777EAAA}" id="{E11EDFB2-42B8-8D43-B0AB-9430B6FB3611}">
    <text>Derivative asset value is 0 in 2019, 2028, 2029 as Stelco entered into an option agreement on April 30,2020 and is exercisable by Stelco at any time until January 31, 2027, after that it (Derivative assets) will expire.</text>
  </threadedComment>
  <threadedComment ref="B18" dT="2024-07-28T18:22:05.63" personId="{84555D1C-288B-554E-9C8F-292A5777EAAA}" id="{3BB8ED09-CC83-7840-919D-B7165C91A34D}">
    <text>Includes Buildings, Machinery &amp; Equipments, Vehicles and Assets under lease.</text>
  </threadedComment>
  <threadedComment ref="B29" dT="2024-08-17T18:36:06.90" personId="{84555D1C-288B-554E-9C8F-292A5777EAAA}" id="{F16C91C3-4449-F542-BA92-079E32B297AA}">
    <text>Taken the average value excluding the value in 2020 owing to its outlier characteristics.</text>
  </threadedComment>
  <threadedComment ref="B30" dT="2024-08-17T18:36:25.14" personId="{84555D1C-288B-554E-9C8F-292A5777EAAA}" id="{619C1EBC-FE93-CB41-838D-73F4BAFAE30D}">
    <text>Assumed to remain 0 for the forecasted period because in the past it occurred only once in 2020.</text>
  </threadedComment>
  <threadedComment ref="B32" dT="2024-08-17T18:36:50.23" personId="{84555D1C-288B-554E-9C8F-292A5777EAAA}" id="{7725D2D5-7C27-D849-81AE-25FE59BEDEEE}">
    <text>Taken the average value omitting the value for 2020 owing to its outlier characteristics.</text>
  </threadedComment>
  <threadedComment ref="K32" dT="2024-08-23T23:34:39.44" personId="{84555D1C-288B-554E-9C8F-292A5777EAAA}" id="{423818A7-A1C4-0E47-B18A-84BBBF632C74}">
    <text>Entire ABL repayment expected in 2026 as per the Annual report FY 2024.</text>
  </threadedComment>
  <threadedComment ref="B34" dT="2024-08-17T18:37:45.07" personId="{84555D1C-288B-554E-9C8F-292A5777EAAA}" id="{C37C2748-F481-C745-BE3C-158FF2784332}">
    <text>Taken the average value excluding the values in 2021 &amp; 2022 owing to their outlier characteristics.</text>
  </threadedComment>
  <threadedComment ref="B40" dT="2024-08-17T18:39:22.30" personId="{84555D1C-288B-554E-9C8F-292A5777EAAA}" id="{4361AF76-D5B5-BC43-A3C9-FFCB43ECF9E8}">
    <text>Forecasted based on the last two years (2022, 2023) values as there was a huge jump in these two years.</text>
  </threadedComment>
  <threadedComment ref="B41" dT="2024-08-17T18:39:55.85" personId="{84555D1C-288B-554E-9C8F-292A5777EAAA}" id="{03AE0702-ED97-804B-9963-41D18963FFA2}">
    <text xml:space="preserve">Calculated the Current and Non Current liabilities using the information given in the Annual report (Pdf page no - 34, Document page no - 20) </text>
  </threadedComment>
  <threadedComment ref="J41" dT="2024-07-28T23:02:58.88" personId="{667A8D58-BFAE-824E-9CAE-23104E4573A8}" id="{FF2177E4-09B6-4B3D-8E9A-9F11ECBD64D7}">
    <text>Outstanding - $8 million dollars with newly added liability of $16 million dollars.</text>
  </threadedComment>
  <threadedComment ref="B68" dT="2024-07-29T19:51:10.56" personId="{84555D1C-288B-554E-9C8F-292A5777EAAA}" id="{8D2CB379-5452-5743-A526-83BF5376CA43}">
    <text>2019 and 2023 not included because those dividends were paid out of Net Income and Retained earnings. And rest of the dividends are paid out of Net Income only.</text>
  </threadedComment>
</ThreadedComments>
</file>

<file path=xl/threadedComments/threadedComment4.xml><?xml version="1.0" encoding="utf-8"?>
<ThreadedComments xmlns="http://schemas.microsoft.com/office/spreadsheetml/2018/threadedcomments" xmlns:x="http://schemas.openxmlformats.org/spreadsheetml/2006/main">
  <threadedComment ref="B6" dT="2024-07-28T05:40:45.31" personId="{84555D1C-288B-554E-9C8F-292A5777EAAA}" id="{9A42BD65-A4D1-1847-8C9F-4521F2CBF5A2}">
    <text>Includes Write down of Construction-in-process</text>
  </threadedComment>
  <threadedComment ref="B8" dT="2024-07-28T05:36:16.01" personId="{84555D1C-288B-554E-9C8F-292A5777EAAA}" id="{F81D165A-EC3C-9642-8E2D-E2153BF6CAF5}">
    <text>Disposals have been adjusted in the Depreciation only because they are occurring each year over the past years.</text>
  </threadedComment>
  <threadedComment ref="C9" dT="2024-07-28T05:34:30.98" personId="{84555D1C-288B-554E-9C8F-292A5777EAAA}" id="{2BFAFF63-48BF-2444-97C9-06AF39DEB7B0}">
    <text xml:space="preserve">Also Include one-time IFRS adjustment of $9 million and one-time Spare parts reclassification as equipment of $11 million.
</text>
  </threadedComment>
  <threadedComment ref="C21" dT="2024-07-28T05:57:20.88" personId="{84555D1C-288B-554E-9C8F-292A5777EAAA}" id="{AC8FBDBA-B6BE-6F46-914B-F3B965EC916A}">
    <text>$46 million is the accumulated depreciation as at 31st December 2018.</text>
  </threadedComment>
  <threadedComment ref="C25" dT="2024-08-22T23:45:45.20" personId="{84555D1C-288B-554E-9C8F-292A5777EAAA}" id="{B831867B-C290-0B45-A2AC-834639892408}">
    <text>FY2020 is not considered in the Average because of fall in revenue (Covid-19).</text>
  </threadedComment>
</ThreadedComments>
</file>

<file path=xl/threadedComments/threadedComment5.xml><?xml version="1.0" encoding="utf-8"?>
<ThreadedComments xmlns="http://schemas.microsoft.com/office/spreadsheetml/2018/threadedcomments" xmlns:x="http://schemas.openxmlformats.org/spreadsheetml/2006/main">
  <threadedComment ref="B2" dT="2024-08-01T01:52:45.92" personId="{84555D1C-288B-554E-9C8F-292A5777EAAA}" id="{EE11C4DF-7FBE-DA4A-B85F-76CED66A70D7}">
    <text>This switch not to be changed. To make changes check the switch in the income statement sheet.</text>
  </threadedComment>
  <threadedComment ref="I7" dT="2024-07-28T08:58:58.51" personId="{84555D1C-288B-554E-9C8F-292A5777EAAA}" id="{E648172B-D522-3147-AB6D-79DABCE42986}">
    <text>Regression values for FY 2024 and FY 2025 are not considered because they highly deviate from the street estimates.</text>
  </threadedComment>
  <threadedComment ref="L17" dT="2024-07-29T15:16:13.18" personId="{84555D1C-288B-554E-9C8F-292A5777EAAA}" id="{FB31E5AA-F951-064C-8D9E-E9F811241EC9}">
    <text xml:space="preserve">Street estimates are available only unto 2027 and not beyond that. These estimates have been taken from the S&amp;P Capital IQ.	</text>
  </threadedComment>
  <threadedComment ref="B20" dT="2024-07-28T08:59:18.71" personId="{84555D1C-288B-554E-9C8F-292A5777EAAA}" id="{735F9C85-1D89-8649-B388-7B305F4E182C}">
    <text>Regression values are not considered because they highly deviate from the street estimates.</text>
  </threadedComment>
  <threadedComment ref="B28" dT="2024-07-29T12:41:09.32" personId="{84555D1C-288B-554E-9C8F-292A5777EAAA}" id="{930FC21C-E5B2-FC4B-BEB7-C20B5417D0DB}">
    <text>This revenue growth not considered because it heavily deviates from the industry estimates.</text>
  </threadedComment>
</ThreadedComments>
</file>

<file path=xl/threadedComments/threadedComment6.xml><?xml version="1.0" encoding="utf-8"?>
<ThreadedComments xmlns="http://schemas.microsoft.com/office/spreadsheetml/2018/threadedcomments" xmlns:x="http://schemas.openxmlformats.org/spreadsheetml/2006/main">
  <threadedComment ref="B7" dT="2024-07-30T02:15:03.64" personId="{84555D1C-288B-554E-9C8F-292A5777EAAA}" id="{FAE5B393-DC05-5C4A-8063-EBBF219C0B18}">
    <text>Calculated using CAPM Model.</text>
  </threadedComment>
  <threadedComment ref="B8" dT="2024-07-30T02:13:25.99" personId="{84555D1C-288B-554E-9C8F-292A5777EAAA}" id="{C6D23334-76C5-C54B-B251-2333BD333636}">
    <text>Source used: https://www.cnbc.com/quotes/CA10Y-CA</text>
  </threadedComment>
  <threadedComment ref="B9" dT="2024-07-30T02:14:41.34" personId="{84555D1C-288B-554E-9C8F-292A5777EAAA}" id="{58A6675B-CB16-0D42-8E47-B7F54A7CCF43}">
    <text>Value taken from S&amp;P Capital IQ.</text>
  </threadedComment>
  <threadedComment ref="B10" dT="2024-07-30T01:24:59.67" personId="{84555D1C-288B-554E-9C8F-292A5777EAAA}" id="{9490BAA9-A03C-8540-AF5D-325A7F78DE84}">
    <text>Used the following source: https://pages.stern.nyu.edu/~adamodar/New_Home_Page/datafile/ctryprem.html</text>
  </threadedComment>
  <threadedComment ref="B16" dT="2024-07-30T02:20:42.19" personId="{84555D1C-288B-554E-9C8F-292A5777EAAA}" id="{D4267C37-A37B-B145-A795-38BC0E58CD3E}">
    <text>WACC and Capital structure assumed to remain constant for the forecasted period.</text>
  </threadedComment>
  <threadedComment ref="B23" dT="2024-07-30T00:32:00.27" personId="{84555D1C-288B-554E-9C8F-292A5777EAAA}" id="{7F99D296-FA30-EE44-B2DD-EAF116D32F15}">
    <text>This interest includes Interest on Mortgage, Capital lease and ABL. Interest on Capital lease is not separately given but is part of the finance cost in the income cost, therefore, this interest on Capital lease is taken from the S&amp;P Capital IQ.</text>
  </threadedComment>
  <threadedComment ref="B29" dT="2024-07-30T00:27:34.95" personId="{84555D1C-288B-554E-9C8F-292A5777EAAA}" id="{EBAAD6F0-84CB-C94C-8331-1A3BA681A4D7}">
    <text>Average Canadian GDP Growth rate (used as Terminal growth rate)</text>
  </threadedComment>
</ThreadedComments>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5D484B-B05A-6643-B939-45211D2E5D92}">
  <we:reference id="wa200005502" version="1.0.0.11" store="en-US" storeType="OMEX"/>
  <we:alternateReferences>
    <we:reference id="wa200005502" version="1.0.0.11" store="wa200005502" storeType="OMEX"/>
  </we:alternateReferences>
  <we:properties>
    <we:property name="docId" value="&quot;CVNNF9cOKigR95bUcaYKp&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_xldudf_GPT</we:customFunctionIds>
        <we:customFunctionIds>_xldudf_GPT_LIST</we:customFunctionIds>
        <we:customFunctionIds>_xldudf_GPT_HLIST</we:customFunctionIds>
        <we:customFunctionIds>_xldudf_GPT_CLASSIFY</we:customFunctionIds>
        <we:customFunctionIds>_xldudf_GPT_TRANSLATE</we:customFunctionIds>
        <we:customFunctionIds>_xldudf_GPT_EXTRACT</we:customFunctionIds>
        <we:customFunctionIds>_xldudf_GPT_TAG</we:customFunctionIds>
        <we:customFunctionIds>_xldudf_GPT_CONVERT</we:customFunctionIds>
        <we:customFunctionIds>_xldudf_GPT_FORMAT</we:customFunctionIds>
        <we:customFunctionIds>_xldudf_GPT_SUMMARIZE</we:customFunctionIds>
        <we:customFunctionIds>_xldudf_GPT_TABLE</we:customFunctionIds>
        <we:customFunctionIds>_xldudf_GPT_FILL</we:customFunctionIds>
        <we:customFunctionIds>_xldudf_GPT_SPLIT</we:customFunctionIds>
        <we:customFunctionIds>_xldudf_GPT_HSPLIT</we:customFunctionIds>
        <we:customFunctionIds>_xldudf_GPT_EDIT</we:customFunctionIds>
        <we:customFunctionIds>_xldudf_GPT_MATCH</we:customFunctionIds>
        <we:customFunctionIds>_xldudf_GPT_VISION</we:customFunctionIds>
        <we:customFunctionIds>_xldudf_GPT_WEB</we:customFunctionIds>
      </we:customFunctionIdList>
    </a:ext>
  </we:extLst>
</we:webextension>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 Id="rId4" Type="http://schemas.microsoft.com/office/2017/10/relationships/threadedComment" Target="../threadedComments/threadedComment3.x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3.xml"/><Relationship Id="rId4" Type="http://schemas.microsoft.com/office/2017/10/relationships/threadedComment" Target="../threadedComments/threadedComment5.x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81AD5-2B31-0046-93FA-A04EC5582AA7}">
  <sheetPr>
    <tabColor rgb="FF00B0F0"/>
  </sheetPr>
  <dimension ref="B2:O54"/>
  <sheetViews>
    <sheetView tabSelected="1" zoomScale="150" zoomScaleNormal="100" workbookViewId="0">
      <selection activeCell="C24" sqref="C24"/>
    </sheetView>
  </sheetViews>
  <sheetFormatPr baseColWidth="10" defaultColWidth="10.83203125" defaultRowHeight="16" x14ac:dyDescent="0.2"/>
  <cols>
    <col min="1" max="1" width="2.83203125" style="2" customWidth="1"/>
    <col min="2" max="2" width="43.5" style="2" customWidth="1"/>
    <col min="3" max="3" width="10.83203125" style="2"/>
    <col min="4" max="8" width="17.33203125" style="2" bestFit="1" customWidth="1"/>
    <col min="9" max="9" width="17.33203125" style="1" bestFit="1" customWidth="1"/>
    <col min="10" max="10" width="17.33203125" style="2" bestFit="1" customWidth="1"/>
    <col min="11" max="16384" width="10.83203125" style="2"/>
  </cols>
  <sheetData>
    <row r="2" spans="2:15" s="129" customFormat="1" ht="24" x14ac:dyDescent="0.3">
      <c r="B2" s="129" t="e" vm="1">
        <v>#VALUE!</v>
      </c>
    </row>
    <row r="3" spans="2:15" x14ac:dyDescent="0.2">
      <c r="B3" s="9" t="s">
        <v>0</v>
      </c>
      <c r="C3" s="150">
        <f ca="1">TODAY()</f>
        <v>45725</v>
      </c>
      <c r="D3" s="147"/>
    </row>
    <row r="4" spans="2:15" x14ac:dyDescent="0.2">
      <c r="B4" s="9" t="s">
        <v>1</v>
      </c>
      <c r="C4" s="150">
        <v>45657</v>
      </c>
    </row>
    <row r="5" spans="2:15" x14ac:dyDescent="0.2">
      <c r="B5" s="12"/>
      <c r="C5" s="103"/>
    </row>
    <row r="6" spans="2:15" x14ac:dyDescent="0.2">
      <c r="B6" s="171" t="s">
        <v>2</v>
      </c>
      <c r="C6" s="171"/>
      <c r="D6" s="171"/>
      <c r="E6" s="171"/>
      <c r="F6" s="171"/>
      <c r="G6" s="171"/>
      <c r="H6" s="89"/>
    </row>
    <row r="7" spans="2:15" x14ac:dyDescent="0.2">
      <c r="B7" s="79" t="s">
        <v>3</v>
      </c>
      <c r="C7" s="80" t="s">
        <v>4</v>
      </c>
      <c r="D7" s="80" t="s">
        <v>5</v>
      </c>
      <c r="E7" s="80" t="s">
        <v>6</v>
      </c>
      <c r="F7" s="80" t="s">
        <v>7</v>
      </c>
      <c r="G7" s="80" t="s">
        <v>8</v>
      </c>
      <c r="H7" s="1"/>
    </row>
    <row r="8" spans="2:15" x14ac:dyDescent="0.2">
      <c r="B8" s="2" t="s">
        <v>9</v>
      </c>
      <c r="C8" s="2">
        <f ca="1">'Income Statement'!H5</f>
        <v>2625.3</v>
      </c>
      <c r="D8" s="2">
        <f ca="1">'Income Statement'!I5</f>
        <v>2756.5650000000005</v>
      </c>
      <c r="E8" s="2">
        <f ca="1">'Income Statement'!J5</f>
        <v>3018.4386750000003</v>
      </c>
      <c r="F8" s="2">
        <f ca="1">'Income Statement'!K5</f>
        <v>3320.2825425000005</v>
      </c>
      <c r="G8" s="2">
        <f ca="1">'Income Statement'!L5</f>
        <v>3585.9051459000007</v>
      </c>
      <c r="H8" s="12"/>
    </row>
    <row r="9" spans="2:15" x14ac:dyDescent="0.2">
      <c r="B9" s="2" t="s">
        <v>10</v>
      </c>
      <c r="C9" s="2">
        <f ca="1">'Income Statement'!H10</f>
        <v>479.74322864367218</v>
      </c>
      <c r="D9" s="2">
        <f ca="1">'Income Statement'!I10</f>
        <v>503.73039007585606</v>
      </c>
      <c r="E9" s="2">
        <f ca="1">'Income Statement'!J10</f>
        <v>551.58477713306195</v>
      </c>
      <c r="F9" s="2">
        <f ca="1">'Income Statement'!K10</f>
        <v>606.74325484636813</v>
      </c>
      <c r="G9" s="2">
        <f ca="1">'Income Statement'!L10</f>
        <v>655.28271523407784</v>
      </c>
      <c r="H9" s="12"/>
      <c r="O9" s="132"/>
    </row>
    <row r="10" spans="2:15" x14ac:dyDescent="0.2">
      <c r="B10" s="2" t="s">
        <v>11</v>
      </c>
      <c r="C10" s="2">
        <f ca="1">'Income Statement'!$C$29*'DFCFF Valuation'!C9</f>
        <v>119.93580716091805</v>
      </c>
      <c r="D10" s="2">
        <f ca="1">'Income Statement'!$C$29*'DFCFF Valuation'!D9</f>
        <v>125.93259751896402</v>
      </c>
      <c r="E10" s="2">
        <f ca="1">'Income Statement'!$C$29*'DFCFF Valuation'!E9</f>
        <v>137.89619428326549</v>
      </c>
      <c r="F10" s="2">
        <f ca="1">'Income Statement'!$C$29*'DFCFF Valuation'!F9</f>
        <v>151.68581371159203</v>
      </c>
      <c r="G10" s="2">
        <f ca="1">'Income Statement'!$C$29*'DFCFF Valuation'!G9</f>
        <v>163.82067880851946</v>
      </c>
      <c r="H10" s="12"/>
      <c r="O10" s="132"/>
    </row>
    <row r="11" spans="2:15" x14ac:dyDescent="0.2">
      <c r="B11" s="6" t="s">
        <v>12</v>
      </c>
      <c r="C11" s="6">
        <f ca="1">C9-C10</f>
        <v>359.80742148275414</v>
      </c>
      <c r="D11" s="6">
        <f ca="1">D9-D10</f>
        <v>377.79779255689203</v>
      </c>
      <c r="E11" s="6">
        <f ca="1">E9-E10</f>
        <v>413.68858284979649</v>
      </c>
      <c r="F11" s="6">
        <f ca="1">F9-F10</f>
        <v>455.05744113477613</v>
      </c>
      <c r="G11" s="6">
        <f ca="1">G9-G10</f>
        <v>491.46203642555838</v>
      </c>
      <c r="H11" s="12"/>
      <c r="O11" s="132"/>
    </row>
    <row r="12" spans="2:15" x14ac:dyDescent="0.2">
      <c r="B12" s="2" t="s">
        <v>13</v>
      </c>
      <c r="C12" s="2">
        <f ca="1">'Balance Sheet'!I19-'Balance Sheet'!H19</f>
        <v>-59.528303099083018</v>
      </c>
      <c r="D12" s="2">
        <f ca="1">'Balance Sheet'!J19-'Balance Sheet'!I19</f>
        <v>-53.658082004295522</v>
      </c>
      <c r="E12" s="2">
        <f ca="1">'Balance Sheet'!K19-'Balance Sheet'!J19</f>
        <v>-59.158697622942611</v>
      </c>
      <c r="F12" s="2">
        <f ca="1">'Balance Sheet'!L19-'Balance Sheet'!K19</f>
        <v>-66.243286641297686</v>
      </c>
      <c r="G12" s="2">
        <f ca="1">'Balance Sheet'!M19-'Balance Sheet'!L19</f>
        <v>-73.677048552624342</v>
      </c>
      <c r="H12" s="12"/>
    </row>
    <row r="13" spans="2:15" x14ac:dyDescent="0.2">
      <c r="B13" s="2" t="s">
        <v>14</v>
      </c>
      <c r="C13" s="2">
        <f ca="1">SUM('Balance Sheet'!I16:I18)-SUM('Balance Sheet'!H16:H18)</f>
        <v>-292.73839213180281</v>
      </c>
      <c r="D13" s="2">
        <f ca="1">SUM('Balance Sheet'!J16:J18)-SUM('Balance Sheet'!I16:I18)</f>
        <v>99.194747242751191</v>
      </c>
      <c r="E13" s="2">
        <f ca="1">SUM('Balance Sheet'!K16:K18)-SUM('Balance Sheet'!J16:J18)</f>
        <v>150.00434477366184</v>
      </c>
      <c r="F13" s="2">
        <f ca="1">SUM('Balance Sheet'!L16:L18)-SUM('Balance Sheet'!K16:K18)</f>
        <v>170.95484835712659</v>
      </c>
      <c r="G13" s="2">
        <f ca="1">SUM('Balance Sheet'!M16:M18)-SUM('Balance Sheet'!L16:L18)</f>
        <v>165.82322286255385</v>
      </c>
      <c r="H13" s="12"/>
    </row>
    <row r="14" spans="2:15" x14ac:dyDescent="0.2">
      <c r="B14" s="2" t="s">
        <v>15</v>
      </c>
      <c r="C14" s="2">
        <f ca="1">'Balance Sheet'!C107</f>
        <v>78.867722914153092</v>
      </c>
      <c r="D14" s="2">
        <f ca="1">'Balance Sheet'!D107</f>
        <v>11.493386145707746</v>
      </c>
      <c r="E14" s="2">
        <f ca="1">'Balance Sheet'!E107</f>
        <v>13.929305360686726</v>
      </c>
      <c r="F14" s="2">
        <f ca="1">'Balance Sheet'!F107</f>
        <v>50.429041442054881</v>
      </c>
      <c r="G14" s="2">
        <f ca="1">'Balance Sheet'!G107</f>
        <v>23.257556469008023</v>
      </c>
      <c r="H14" s="12"/>
    </row>
    <row r="15" spans="2:15" x14ac:dyDescent="0.2">
      <c r="B15" s="5" t="s">
        <v>16</v>
      </c>
      <c r="C15" s="6">
        <f ca="1">(C11-C12-C13-C14)</f>
        <v>633.20639379948693</v>
      </c>
      <c r="D15" s="6">
        <f t="shared" ref="D15:G15" ca="1" si="0">(D11-D12-D13+D14)</f>
        <v>343.75451346414411</v>
      </c>
      <c r="E15" s="6">
        <f t="shared" ca="1" si="0"/>
        <v>336.77224105976399</v>
      </c>
      <c r="F15" s="6">
        <f t="shared" ca="1" si="0"/>
        <v>400.7749208610021</v>
      </c>
      <c r="G15" s="6">
        <f t="shared" ca="1" si="0"/>
        <v>422.5734185846369</v>
      </c>
      <c r="H15" s="12"/>
    </row>
    <row r="16" spans="2:15" x14ac:dyDescent="0.2">
      <c r="B16" s="12" t="s">
        <v>17</v>
      </c>
      <c r="G16" s="2">
        <f ca="1">(G15*(1+'WACC &amp; TV growth rate'!F29))/('WACC &amp; TV growth rate'!F16-'WACC &amp; TV growth rate'!F29)</f>
        <v>3651.3419806287275</v>
      </c>
      <c r="H16" s="12"/>
    </row>
    <row r="17" spans="2:15" x14ac:dyDescent="0.2">
      <c r="B17" s="5" t="s">
        <v>18</v>
      </c>
      <c r="C17" s="6">
        <f ca="1">(C15+C16)*YEARFRAC(C3,C4,)</f>
        <v>121.36455881156834</v>
      </c>
      <c r="D17" s="6">
        <f ca="1">D15+D16</f>
        <v>343.75451346414411</v>
      </c>
      <c r="E17" s="6">
        <f ca="1">E15+E16</f>
        <v>336.77224105976399</v>
      </c>
      <c r="F17" s="6">
        <f ca="1">F15+F16</f>
        <v>400.7749208610021</v>
      </c>
      <c r="G17" s="6">
        <f ca="1">G15+G16</f>
        <v>4073.9153992133643</v>
      </c>
      <c r="H17" s="1"/>
      <c r="O17" s="132"/>
    </row>
    <row r="18" spans="2:15" ht="17" thickBot="1" x14ac:dyDescent="0.25">
      <c r="B18" s="144" t="s">
        <v>19</v>
      </c>
      <c r="C18" s="145">
        <f ca="1">C17/(1+'WACC &amp; TV growth rate'!$F$16)^C21</f>
        <v>119.89961126804143</v>
      </c>
      <c r="D18" s="145">
        <f ca="1">D17/(1+'WACC &amp; TV growth rate'!$F$16)^D21</f>
        <v>314.90758353684356</v>
      </c>
      <c r="E18" s="145">
        <f ca="1">E17/(1+'WACC &amp; TV growth rate'!$F$16)^E21</f>
        <v>271.79210879886432</v>
      </c>
      <c r="F18" s="145">
        <f ca="1">F17/(1+'WACC &amp; TV growth rate'!$F$16)^F21</f>
        <v>284.94887027430428</v>
      </c>
      <c r="G18" s="145">
        <f ca="1">G17/(1+'WACC &amp; TV growth rate'!$F$16)^G21</f>
        <v>2551.786024413117</v>
      </c>
      <c r="H18" s="12"/>
    </row>
    <row r="19" spans="2:15" x14ac:dyDescent="0.2">
      <c r="C19" s="102"/>
      <c r="D19" s="102"/>
      <c r="E19" s="102"/>
      <c r="F19" s="102"/>
      <c r="G19" s="102"/>
    </row>
    <row r="20" spans="2:15" x14ac:dyDescent="0.2">
      <c r="B20" s="82" t="s">
        <v>20</v>
      </c>
      <c r="C20" s="152">
        <v>1</v>
      </c>
      <c r="D20" s="82">
        <v>2</v>
      </c>
      <c r="E20" s="82">
        <v>3</v>
      </c>
      <c r="F20" s="82">
        <v>4</v>
      </c>
      <c r="G20" s="82">
        <v>5</v>
      </c>
    </row>
    <row r="21" spans="2:15" x14ac:dyDescent="0.2">
      <c r="B21" s="82" t="s">
        <v>21</v>
      </c>
      <c r="C21" s="152">
        <f ca="1">YEARFRAC(C3,C4,)/2</f>
        <v>9.583333333333334E-2</v>
      </c>
      <c r="D21" s="82">
        <f ca="1">YEARFRAC(C3,C4,)+0.5</f>
        <v>0.69166666666666665</v>
      </c>
      <c r="E21" s="82">
        <f t="shared" ref="E21:G21" ca="1" si="1">D21+1</f>
        <v>1.6916666666666667</v>
      </c>
      <c r="F21" s="82">
        <f t="shared" ca="1" si="1"/>
        <v>2.6916666666666664</v>
      </c>
      <c r="G21" s="82">
        <f t="shared" ca="1" si="1"/>
        <v>3.6916666666666664</v>
      </c>
    </row>
    <row r="22" spans="2:15" x14ac:dyDescent="0.2">
      <c r="B22" s="82"/>
      <c r="C22" s="152"/>
      <c r="D22" s="82"/>
      <c r="E22" s="82"/>
      <c r="F22" s="82"/>
      <c r="G22" s="82"/>
    </row>
    <row r="23" spans="2:15" x14ac:dyDescent="0.2">
      <c r="B23" s="10" t="s">
        <v>22</v>
      </c>
      <c r="C23" s="157">
        <f ca="1">'WACC &amp; TV growth rate'!F16</f>
        <v>0.13510007896604628</v>
      </c>
      <c r="D23" s="82"/>
      <c r="E23" s="82"/>
      <c r="F23" s="82"/>
      <c r="G23" s="82"/>
    </row>
    <row r="24" spans="2:15" x14ac:dyDescent="0.2">
      <c r="B24" s="10" t="s">
        <v>23</v>
      </c>
      <c r="C24" s="157">
        <f>'WACC &amp; TV growth rate'!F29</f>
        <v>1.7359999999999997E-2</v>
      </c>
      <c r="D24" s="82"/>
      <c r="E24" s="82"/>
      <c r="F24" s="82"/>
      <c r="G24" s="82"/>
    </row>
    <row r="25" spans="2:15" x14ac:dyDescent="0.2">
      <c r="B25" s="9" t="s">
        <v>24</v>
      </c>
      <c r="C25" s="9">
        <f ca="1">SUM(C18:G18)</f>
        <v>3543.3341982911707</v>
      </c>
    </row>
    <row r="26" spans="2:15" x14ac:dyDescent="0.2">
      <c r="B26" s="9" t="s">
        <v>25</v>
      </c>
      <c r="C26" s="9">
        <f ca="1">C25</f>
        <v>3543.3341982911707</v>
      </c>
      <c r="J26" s="1"/>
      <c r="K26" s="1"/>
      <c r="L26" s="1"/>
      <c r="M26" s="1"/>
      <c r="N26" s="1"/>
    </row>
    <row r="27" spans="2:15" x14ac:dyDescent="0.2">
      <c r="B27" s="10" t="s">
        <v>26</v>
      </c>
      <c r="C27" s="10">
        <f>'Balance Sheet'!H7</f>
        <v>645</v>
      </c>
      <c r="J27" s="1"/>
      <c r="K27" s="1"/>
      <c r="L27" s="1"/>
      <c r="M27" s="1"/>
      <c r="N27" s="1"/>
    </row>
    <row r="28" spans="2:15" x14ac:dyDescent="0.2">
      <c r="B28" s="10" t="s">
        <v>27</v>
      </c>
      <c r="C28" s="10">
        <f>'WACC &amp; TV growth rate'!F11</f>
        <v>771</v>
      </c>
      <c r="J28" s="1"/>
      <c r="K28" s="1"/>
      <c r="L28" s="1"/>
      <c r="M28" s="1"/>
      <c r="N28" s="1"/>
    </row>
    <row r="29" spans="2:15" x14ac:dyDescent="0.2">
      <c r="B29" s="9" t="s">
        <v>28</v>
      </c>
      <c r="C29" s="9">
        <f ca="1">C26+C27-C28</f>
        <v>3417.3341982911707</v>
      </c>
      <c r="J29" s="1"/>
      <c r="K29" s="1"/>
      <c r="L29" s="1"/>
      <c r="M29" s="1"/>
      <c r="N29" s="1"/>
    </row>
    <row r="30" spans="2:15" x14ac:dyDescent="0.2">
      <c r="B30" s="10" t="s">
        <v>29</v>
      </c>
      <c r="C30" s="10" cm="1">
        <f t="array" aca="1" ref="C30" ca="1">_FV(B2,"Shares outstanding",TRUE)/1000000</f>
        <v>54.448390000000003</v>
      </c>
      <c r="J30" s="1"/>
      <c r="K30" s="1"/>
      <c r="L30" s="1"/>
      <c r="M30" s="1"/>
      <c r="N30" s="1"/>
    </row>
    <row r="31" spans="2:15" x14ac:dyDescent="0.2">
      <c r="B31" s="10"/>
      <c r="C31" s="10"/>
      <c r="J31" s="1"/>
      <c r="K31" s="1"/>
      <c r="L31" s="1"/>
      <c r="M31" s="1"/>
      <c r="N31" s="1"/>
    </row>
    <row r="32" spans="2:15" x14ac:dyDescent="0.2">
      <c r="B32" s="64" t="s">
        <v>30</v>
      </c>
      <c r="C32" s="148">
        <v>3</v>
      </c>
      <c r="J32" s="1"/>
      <c r="K32" s="1"/>
      <c r="L32" s="1"/>
      <c r="M32" s="1"/>
      <c r="N32" s="1"/>
    </row>
    <row r="33" spans="2:10" x14ac:dyDescent="0.2">
      <c r="B33" s="64" t="s">
        <v>31</v>
      </c>
      <c r="C33" s="64">
        <f ca="1">C29/C30</f>
        <v>62.762814443019721</v>
      </c>
    </row>
    <row r="34" spans="2:10" x14ac:dyDescent="0.2">
      <c r="B34" s="64" t="e" vm="1">
        <v>#VALUE!</v>
      </c>
      <c r="C34" s="64" cm="1">
        <f t="array" aca="1" ref="C34" ca="1">_FV(B34,"Price")</f>
        <v>67.11</v>
      </c>
    </row>
    <row r="35" spans="2:10" x14ac:dyDescent="0.2">
      <c r="B35" s="64" t="s">
        <v>32</v>
      </c>
      <c r="C35" s="99">
        <v>0.1</v>
      </c>
    </row>
    <row r="36" spans="2:10" x14ac:dyDescent="0.2">
      <c r="B36" s="64" t="s">
        <v>33</v>
      </c>
      <c r="C36" s="64">
        <f ca="1">C35*C33</f>
        <v>6.2762814443019721</v>
      </c>
      <c r="E36" s="12"/>
    </row>
    <row r="37" spans="2:10" x14ac:dyDescent="0.2">
      <c r="B37" s="146" t="s">
        <v>34</v>
      </c>
      <c r="C37" s="146" t="str" cm="1">
        <f t="array" aca="1" ref="C37" ca="1">_xlfn.IFS(C34&gt;(C33+C36),"SELL",C34&lt;(C33-C36),"BUY",(C33-C36)&lt;C34&gt;(C33+C36),"HOLD")</f>
        <v>HOLD</v>
      </c>
      <c r="I37" s="2"/>
    </row>
    <row r="38" spans="2:10" x14ac:dyDescent="0.2">
      <c r="C38" s="26"/>
    </row>
    <row r="39" spans="2:10" x14ac:dyDescent="0.2">
      <c r="B39" s="158"/>
      <c r="C39" s="1"/>
      <c r="D39" s="1"/>
      <c r="E39" s="1"/>
      <c r="F39" s="1"/>
      <c r="G39" s="1"/>
      <c r="H39" s="1"/>
      <c r="J39" s="1"/>
    </row>
    <row r="40" spans="2:10" x14ac:dyDescent="0.2">
      <c r="C40" s="26"/>
      <c r="D40" s="26"/>
      <c r="E40" s="26"/>
      <c r="F40" s="26"/>
      <c r="G40" s="26"/>
      <c r="H40" s="26"/>
      <c r="I40" s="26"/>
      <c r="J40" s="26"/>
    </row>
    <row r="41" spans="2:10" x14ac:dyDescent="0.2">
      <c r="B41" s="87"/>
      <c r="C41" s="102"/>
      <c r="D41" s="102"/>
      <c r="E41" s="102"/>
      <c r="F41" s="102"/>
      <c r="G41" s="102"/>
      <c r="H41" s="165"/>
      <c r="J41" s="1"/>
    </row>
    <row r="42" spans="2:10" x14ac:dyDescent="0.2">
      <c r="B42" s="87"/>
      <c r="C42" s="102"/>
      <c r="D42" s="102"/>
      <c r="E42" s="102"/>
      <c r="F42" s="102"/>
      <c r="G42" s="102"/>
      <c r="H42" s="165"/>
      <c r="J42" s="1"/>
    </row>
    <row r="43" spans="2:10" x14ac:dyDescent="0.2">
      <c r="B43" s="87"/>
      <c r="C43" s="1"/>
      <c r="D43" s="1"/>
      <c r="E43" s="1"/>
      <c r="F43" s="1"/>
      <c r="G43" s="1"/>
      <c r="H43" s="1"/>
      <c r="J43" s="1"/>
    </row>
    <row r="44" spans="2:10" x14ac:dyDescent="0.2">
      <c r="B44" s="87"/>
      <c r="C44" s="1"/>
      <c r="D44" s="1"/>
      <c r="E44" s="1"/>
      <c r="F44" s="1"/>
      <c r="G44" s="1"/>
      <c r="H44" s="1"/>
      <c r="J44" s="1"/>
    </row>
    <row r="45" spans="2:10" x14ac:dyDescent="0.2">
      <c r="B45" s="87"/>
      <c r="C45" s="1"/>
      <c r="D45" s="1"/>
      <c r="E45" s="1"/>
      <c r="F45" s="1"/>
      <c r="G45" s="1"/>
      <c r="H45" s="1"/>
      <c r="J45" s="1"/>
    </row>
    <row r="46" spans="2:10" x14ac:dyDescent="0.2">
      <c r="B46" s="87"/>
      <c r="C46" s="1"/>
      <c r="D46" s="1"/>
      <c r="E46" s="1"/>
      <c r="F46" s="1"/>
      <c r="G46" s="1"/>
      <c r="H46" s="1"/>
      <c r="J46" s="1"/>
    </row>
    <row r="47" spans="2:10" x14ac:dyDescent="0.2">
      <c r="B47" s="87"/>
      <c r="C47" s="155"/>
      <c r="D47" s="153"/>
      <c r="E47" s="153"/>
      <c r="F47" s="153"/>
      <c r="G47" s="153"/>
      <c r="H47" s="153"/>
      <c r="I47" s="153"/>
      <c r="J47" s="153"/>
    </row>
    <row r="48" spans="2:10" x14ac:dyDescent="0.2">
      <c r="B48" s="87"/>
      <c r="C48" s="156"/>
      <c r="D48" s="153"/>
      <c r="E48" s="153"/>
      <c r="F48" s="153"/>
      <c r="G48" s="153"/>
      <c r="H48" s="153"/>
      <c r="I48" s="153"/>
      <c r="J48" s="153"/>
    </row>
    <row r="49" spans="2:10" x14ac:dyDescent="0.2">
      <c r="B49" s="87"/>
      <c r="D49" s="153"/>
      <c r="E49" s="153"/>
      <c r="F49" s="153"/>
      <c r="G49" s="153"/>
      <c r="H49" s="153"/>
      <c r="I49" s="153"/>
      <c r="J49" s="153"/>
    </row>
    <row r="50" spans="2:10" x14ac:dyDescent="0.2">
      <c r="B50" s="87"/>
      <c r="D50" s="154"/>
      <c r="E50" s="153"/>
      <c r="F50" s="153"/>
      <c r="G50" s="153"/>
      <c r="H50" s="153"/>
      <c r="I50" s="153"/>
      <c r="J50" s="153"/>
    </row>
    <row r="51" spans="2:10" x14ac:dyDescent="0.2">
      <c r="B51" s="87"/>
      <c r="D51" s="153"/>
      <c r="E51" s="153"/>
      <c r="F51" s="153"/>
      <c r="G51" s="153"/>
      <c r="H51" s="153"/>
      <c r="I51" s="153"/>
      <c r="J51" s="153"/>
    </row>
    <row r="52" spans="2:10" x14ac:dyDescent="0.2">
      <c r="B52"/>
      <c r="D52" s="153"/>
      <c r="E52" s="153"/>
      <c r="F52" s="153"/>
      <c r="G52" s="153"/>
      <c r="H52" s="153"/>
      <c r="I52" s="153"/>
      <c r="J52" s="153"/>
    </row>
    <row r="53" spans="2:10" x14ac:dyDescent="0.2">
      <c r="B53" s="125"/>
    </row>
    <row r="54" spans="2:10" x14ac:dyDescent="0.2">
      <c r="B54" s="124"/>
    </row>
  </sheetData>
  <mergeCells count="1">
    <mergeCell ref="B6:G6"/>
  </mergeCell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CCB68-02AC-AB48-B3A2-139D9BCE8612}">
  <sheetPr>
    <tabColor rgb="FF00B0F0"/>
  </sheetPr>
  <dimension ref="A1:N58"/>
  <sheetViews>
    <sheetView zoomScale="108" workbookViewId="0"/>
  </sheetViews>
  <sheetFormatPr baseColWidth="10" defaultColWidth="10.83203125" defaultRowHeight="16" x14ac:dyDescent="0.2"/>
  <cols>
    <col min="1" max="1" width="2.83203125" style="2" customWidth="1"/>
    <col min="2" max="2" width="53.83203125" style="2" bestFit="1" customWidth="1"/>
    <col min="3" max="3" width="8.5" style="2" bestFit="1" customWidth="1"/>
    <col min="4" max="4" width="11.83203125" style="2" bestFit="1" customWidth="1"/>
    <col min="5" max="11" width="11" style="2" bestFit="1" customWidth="1"/>
    <col min="12" max="12" width="10.83203125" style="2"/>
    <col min="13" max="13" width="10.83203125" style="2" customWidth="1"/>
    <col min="14" max="16384" width="10.83203125" style="2"/>
  </cols>
  <sheetData>
    <row r="1" spans="2:14" x14ac:dyDescent="0.2">
      <c r="B1" s="2" t="s">
        <v>35</v>
      </c>
    </row>
    <row r="2" spans="2:14" ht="24" x14ac:dyDescent="0.3">
      <c r="B2" s="129" t="e" vm="1">
        <v>#VALUE!</v>
      </c>
    </row>
    <row r="3" spans="2:14" x14ac:dyDescent="0.2">
      <c r="B3" s="171" t="s">
        <v>36</v>
      </c>
      <c r="C3" s="171"/>
      <c r="D3" s="171"/>
      <c r="E3" s="171"/>
      <c r="F3" s="171"/>
      <c r="G3" s="171"/>
      <c r="H3" s="171"/>
      <c r="I3" s="171"/>
      <c r="J3" s="171"/>
      <c r="K3" s="171"/>
      <c r="L3" s="171"/>
      <c r="M3" s="89"/>
      <c r="N3" s="1"/>
    </row>
    <row r="4" spans="2:14" x14ac:dyDescent="0.2">
      <c r="B4" s="3" t="s">
        <v>3</v>
      </c>
      <c r="C4" s="21">
        <v>2019</v>
      </c>
      <c r="D4" s="21">
        <f>C4+1</f>
        <v>2020</v>
      </c>
      <c r="E4" s="21">
        <f>D4+1</f>
        <v>2021</v>
      </c>
      <c r="F4" s="21">
        <f>E4+1</f>
        <v>2022</v>
      </c>
      <c r="G4" s="21">
        <f>F4+1</f>
        <v>2023</v>
      </c>
      <c r="H4" s="4" t="s">
        <v>4</v>
      </c>
      <c r="I4" s="4" t="s">
        <v>5</v>
      </c>
      <c r="J4" s="4" t="s">
        <v>6</v>
      </c>
      <c r="K4" s="4" t="s">
        <v>37</v>
      </c>
      <c r="L4" s="4" t="s">
        <v>8</v>
      </c>
      <c r="M4" s="1"/>
    </row>
    <row r="5" spans="2:14" x14ac:dyDescent="0.2">
      <c r="B5" s="2" t="s">
        <v>9</v>
      </c>
      <c r="C5" s="2">
        <v>1841</v>
      </c>
      <c r="D5" s="2">
        <v>1517</v>
      </c>
      <c r="E5" s="2">
        <v>4123</v>
      </c>
      <c r="F5" s="2">
        <v>3463</v>
      </c>
      <c r="G5" s="2">
        <v>2917</v>
      </c>
      <c r="H5" s="2">
        <f ca="1">G5*(1+H33)</f>
        <v>2625.3</v>
      </c>
      <c r="I5" s="2">
        <f ca="1">H5*(1+I33)</f>
        <v>2756.5650000000005</v>
      </c>
      <c r="J5" s="2">
        <f ca="1">I5*(1+J33)</f>
        <v>3018.4386750000003</v>
      </c>
      <c r="K5" s="2">
        <f ca="1">J5*(1+K33)</f>
        <v>3320.2825425000005</v>
      </c>
      <c r="L5" s="2">
        <f ca="1">K5*(1+L33)</f>
        <v>3585.9051459000007</v>
      </c>
      <c r="M5" s="1"/>
    </row>
    <row r="6" spans="2:14" x14ac:dyDescent="0.2">
      <c r="B6" s="2" t="s">
        <v>38</v>
      </c>
      <c r="C6" s="2">
        <v>1695</v>
      </c>
      <c r="D6" s="2">
        <v>1473</v>
      </c>
      <c r="E6" s="2">
        <v>2016</v>
      </c>
      <c r="F6" s="2">
        <v>2213</v>
      </c>
      <c r="G6" s="2">
        <v>2483</v>
      </c>
      <c r="H6" s="2">
        <f ca="1">H5*H37</f>
        <v>2032.4617392584275</v>
      </c>
      <c r="I6" s="2">
        <f ca="1">I5*I37</f>
        <v>2134.084826221349</v>
      </c>
      <c r="J6" s="2">
        <f ca="1">J5*J37</f>
        <v>2336.8228847123773</v>
      </c>
      <c r="K6" s="2">
        <f ca="1">K5*K37</f>
        <v>2570.5051731836152</v>
      </c>
      <c r="L6" s="2">
        <f ca="1">L5*L37</f>
        <v>2776.1455870383043</v>
      </c>
      <c r="M6" s="1"/>
    </row>
    <row r="7" spans="2:14" x14ac:dyDescent="0.2">
      <c r="B7" s="2" t="s">
        <v>39</v>
      </c>
      <c r="C7" s="2">
        <v>50</v>
      </c>
      <c r="D7" s="2">
        <v>3</v>
      </c>
      <c r="E7" s="2">
        <v>66</v>
      </c>
      <c r="F7" s="2">
        <v>90</v>
      </c>
      <c r="G7" s="2">
        <v>34</v>
      </c>
      <c r="H7" s="2">
        <f ca="1">H6*H38</f>
        <v>48.224288294016688</v>
      </c>
      <c r="I7" s="2">
        <f t="shared" ref="I7:L7" ca="1" si="0">I6*I38</f>
        <v>50.635502708717524</v>
      </c>
      <c r="J7" s="2">
        <f t="shared" ca="1" si="0"/>
        <v>55.445875466045692</v>
      </c>
      <c r="K7" s="2">
        <f t="shared" ca="1" si="0"/>
        <v>60.990463012650267</v>
      </c>
      <c r="L7" s="2">
        <f t="shared" ca="1" si="0"/>
        <v>65.869700053662285</v>
      </c>
      <c r="M7" s="1"/>
    </row>
    <row r="8" spans="2:14" x14ac:dyDescent="0.2">
      <c r="B8" s="5" t="s">
        <v>40</v>
      </c>
      <c r="C8" s="6">
        <f>C5-C6-C7</f>
        <v>96</v>
      </c>
      <c r="D8" s="6">
        <f t="shared" ref="D8:F8" si="1">D5-D6-D7</f>
        <v>41</v>
      </c>
      <c r="E8" s="6">
        <f t="shared" si="1"/>
        <v>2041</v>
      </c>
      <c r="F8" s="6">
        <f t="shared" si="1"/>
        <v>1160</v>
      </c>
      <c r="G8" s="6">
        <f>G5-G6-G7</f>
        <v>400</v>
      </c>
      <c r="H8" s="6">
        <f ca="1">H5-H6-H7</f>
        <v>544.61397244755597</v>
      </c>
      <c r="I8" s="6">
        <f ca="1">I5-I6-I7</f>
        <v>571.84467106993407</v>
      </c>
      <c r="J8" s="6">
        <f t="shared" ref="J8:L8" ca="1" si="2">J5-J6-J7</f>
        <v>626.16991482157732</v>
      </c>
      <c r="K8" s="6">
        <f t="shared" ca="1" si="2"/>
        <v>688.78690630373512</v>
      </c>
      <c r="L8" s="6">
        <f t="shared" ca="1" si="2"/>
        <v>743.88985880803409</v>
      </c>
      <c r="M8" s="1"/>
    </row>
    <row r="9" spans="2:14" x14ac:dyDescent="0.2">
      <c r="B9" s="2" t="s">
        <v>41</v>
      </c>
      <c r="C9" s="2">
        <v>46</v>
      </c>
      <c r="D9" s="2">
        <v>48</v>
      </c>
      <c r="E9" s="2">
        <v>58</v>
      </c>
      <c r="F9" s="2">
        <v>75</v>
      </c>
      <c r="G9" s="2">
        <v>91</v>
      </c>
      <c r="H9" s="2">
        <f ca="1">H5*H39</f>
        <v>64.870743803883798</v>
      </c>
      <c r="I9" s="2">
        <f ca="1">I5*I39</f>
        <v>68.114280994078001</v>
      </c>
      <c r="J9" s="2">
        <f ca="1">J5*J39</f>
        <v>74.585137688515402</v>
      </c>
      <c r="K9" s="2">
        <f ca="1">K5*K39</f>
        <v>82.043651457366948</v>
      </c>
      <c r="L9" s="2">
        <f ca="1">L5*L39</f>
        <v>88.607143573956307</v>
      </c>
      <c r="M9" s="1"/>
    </row>
    <row r="10" spans="2:14" x14ac:dyDescent="0.2">
      <c r="B10" s="5" t="s">
        <v>42</v>
      </c>
      <c r="C10" s="6">
        <f t="shared" ref="C10:K10" si="3">C8-C9</f>
        <v>50</v>
      </c>
      <c r="D10" s="6">
        <f t="shared" si="3"/>
        <v>-7</v>
      </c>
      <c r="E10" s="6">
        <f t="shared" si="3"/>
        <v>1983</v>
      </c>
      <c r="F10" s="6">
        <f t="shared" si="3"/>
        <v>1085</v>
      </c>
      <c r="G10" s="6">
        <f t="shared" si="3"/>
        <v>309</v>
      </c>
      <c r="H10" s="6">
        <f ca="1">H8-H9</f>
        <v>479.74322864367218</v>
      </c>
      <c r="I10" s="6">
        <f t="shared" ca="1" si="3"/>
        <v>503.73039007585606</v>
      </c>
      <c r="J10" s="6">
        <f t="shared" ca="1" si="3"/>
        <v>551.58477713306195</v>
      </c>
      <c r="K10" s="6">
        <f t="shared" ca="1" si="3"/>
        <v>606.74325484636813</v>
      </c>
      <c r="L10" s="6">
        <f t="shared" ref="L10" ca="1" si="4">L8-L9</f>
        <v>655.28271523407784</v>
      </c>
      <c r="M10" s="1"/>
    </row>
    <row r="11" spans="2:14" x14ac:dyDescent="0.2">
      <c r="B11" s="2" t="s">
        <v>43</v>
      </c>
      <c r="C11" s="2">
        <f>C41</f>
        <v>-4</v>
      </c>
      <c r="D11" s="2">
        <f t="shared" ref="D11:F11" si="5">D41</f>
        <v>-19</v>
      </c>
      <c r="E11" s="2">
        <f t="shared" si="5"/>
        <v>-131</v>
      </c>
      <c r="F11" s="2">
        <f t="shared" si="5"/>
        <v>-64</v>
      </c>
      <c r="G11" s="2">
        <f>G41</f>
        <v>-94</v>
      </c>
      <c r="H11" s="2">
        <f ca="1">H41</f>
        <v>-51.023444385273329</v>
      </c>
      <c r="I11" s="2">
        <f t="shared" ref="I11:L11" ca="1" si="6">I41</f>
        <v>-53.574616604537006</v>
      </c>
      <c r="J11" s="2">
        <f t="shared" ca="1" si="6"/>
        <v>-58.664205181968015</v>
      </c>
      <c r="K11" s="2">
        <f t="shared" ca="1" si="6"/>
        <v>-64.530625700164819</v>
      </c>
      <c r="L11" s="2">
        <f t="shared" ca="1" si="6"/>
        <v>-69.693075756178004</v>
      </c>
      <c r="M11" s="1"/>
    </row>
    <row r="12" spans="2:14" x14ac:dyDescent="0.2">
      <c r="B12" s="2" t="s">
        <v>44</v>
      </c>
      <c r="C12" s="2">
        <f t="shared" ref="C12:H13" si="7">C43</f>
        <v>-9</v>
      </c>
      <c r="D12" s="2">
        <f t="shared" si="7"/>
        <v>-9</v>
      </c>
      <c r="E12" s="2">
        <f t="shared" si="7"/>
        <v>-9</v>
      </c>
      <c r="F12" s="2">
        <f t="shared" si="7"/>
        <v>-9</v>
      </c>
      <c r="G12" s="2">
        <f t="shared" si="7"/>
        <v>-9</v>
      </c>
      <c r="H12" s="2">
        <f t="shared" si="7"/>
        <v>-9</v>
      </c>
      <c r="I12" s="2">
        <f t="shared" ref="I12:L12" si="8">I43</f>
        <v>-9</v>
      </c>
      <c r="J12" s="2">
        <f t="shared" si="8"/>
        <v>-9</v>
      </c>
      <c r="K12" s="2">
        <f t="shared" si="8"/>
        <v>-9</v>
      </c>
      <c r="L12" s="2">
        <f t="shared" si="8"/>
        <v>-9</v>
      </c>
      <c r="M12" s="1"/>
    </row>
    <row r="13" spans="2:14" x14ac:dyDescent="0.2">
      <c r="B13" s="2" t="s">
        <v>45</v>
      </c>
      <c r="C13" s="2">
        <f t="shared" si="7"/>
        <v>-15</v>
      </c>
      <c r="D13" s="2">
        <f t="shared" si="7"/>
        <v>-23</v>
      </c>
      <c r="E13" s="2">
        <f t="shared" si="7"/>
        <v>-22</v>
      </c>
      <c r="F13" s="2">
        <f t="shared" si="7"/>
        <v>-5</v>
      </c>
      <c r="G13" s="2">
        <f t="shared" si="7"/>
        <v>-7</v>
      </c>
      <c r="H13" s="2">
        <f t="shared" si="7"/>
        <v>-4.0283018867924527</v>
      </c>
      <c r="I13" s="2">
        <f t="shared" ref="I13:L13" si="9">I44</f>
        <v>-3.3392502482621649</v>
      </c>
      <c r="J13" s="2">
        <f t="shared" si="9"/>
        <v>-1.027461614849897</v>
      </c>
      <c r="K13" s="2">
        <f t="shared" si="9"/>
        <v>0</v>
      </c>
      <c r="L13" s="2">
        <f t="shared" si="9"/>
        <v>0</v>
      </c>
      <c r="M13" s="1"/>
    </row>
    <row r="14" spans="2:14" x14ac:dyDescent="0.2">
      <c r="B14" s="2" t="s">
        <v>46</v>
      </c>
      <c r="C14" s="2">
        <v>7</v>
      </c>
      <c r="D14" s="2">
        <v>-87</v>
      </c>
      <c r="E14" s="2">
        <v>-32</v>
      </c>
      <c r="F14" s="2">
        <v>7</v>
      </c>
      <c r="G14" s="2">
        <v>9</v>
      </c>
      <c r="H14" s="2">
        <f>H47</f>
        <v>-19.2</v>
      </c>
      <c r="I14" s="2">
        <f t="shared" ref="I14:L14" si="10">I47</f>
        <v>-19.2</v>
      </c>
      <c r="J14" s="2">
        <f t="shared" si="10"/>
        <v>-19.2</v>
      </c>
      <c r="K14" s="2">
        <f t="shared" si="10"/>
        <v>-19.2</v>
      </c>
      <c r="L14" s="2">
        <f t="shared" si="10"/>
        <v>-19.2</v>
      </c>
      <c r="M14" s="1"/>
    </row>
    <row r="15" spans="2:14" x14ac:dyDescent="0.2">
      <c r="B15" s="2" t="s">
        <v>47</v>
      </c>
      <c r="C15" s="2">
        <v>-6</v>
      </c>
      <c r="D15" s="2">
        <v>-13</v>
      </c>
      <c r="E15" s="2">
        <v>-7</v>
      </c>
      <c r="F15" s="2">
        <v>-15</v>
      </c>
      <c r="G15" s="2">
        <v>-11</v>
      </c>
      <c r="H15" s="2">
        <f>H48</f>
        <v>-10.4</v>
      </c>
      <c r="I15" s="2">
        <f t="shared" ref="I15:L15" si="11">I48</f>
        <v>-10.4</v>
      </c>
      <c r="J15" s="2">
        <f t="shared" si="11"/>
        <v>-10.4</v>
      </c>
      <c r="K15" s="2">
        <f t="shared" si="11"/>
        <v>-10.4</v>
      </c>
      <c r="L15" s="2">
        <f t="shared" si="11"/>
        <v>-10.4</v>
      </c>
      <c r="M15" s="1"/>
    </row>
    <row r="16" spans="2:14" x14ac:dyDescent="0.2">
      <c r="B16" s="2" t="s">
        <v>48</v>
      </c>
      <c r="C16" s="2">
        <v>-3</v>
      </c>
      <c r="D16" s="2">
        <v>-1</v>
      </c>
      <c r="E16" s="2">
        <v>0</v>
      </c>
      <c r="F16" s="2">
        <v>1</v>
      </c>
      <c r="G16" s="2">
        <v>2</v>
      </c>
      <c r="H16" s="2">
        <f>G16-($G16-$L16)/(2028-2023)</f>
        <v>2.4</v>
      </c>
      <c r="I16" s="2">
        <f t="shared" ref="I16:K16" si="12">H16-($G16-$L16)/(2028-2023)</f>
        <v>2.8</v>
      </c>
      <c r="J16" s="2">
        <f t="shared" si="12"/>
        <v>3.1999999999999997</v>
      </c>
      <c r="K16" s="2">
        <f t="shared" si="12"/>
        <v>3.5999999999999996</v>
      </c>
      <c r="L16" s="2">
        <v>4</v>
      </c>
      <c r="M16" s="1"/>
      <c r="N16" s="132"/>
    </row>
    <row r="17" spans="2:14" x14ac:dyDescent="0.2">
      <c r="B17" s="2" t="s">
        <v>49</v>
      </c>
      <c r="C17" s="2">
        <v>0</v>
      </c>
      <c r="D17" s="2">
        <v>0</v>
      </c>
      <c r="E17" s="2">
        <v>0</v>
      </c>
      <c r="F17" s="2">
        <v>260</v>
      </c>
      <c r="G17" s="2">
        <v>0</v>
      </c>
      <c r="H17" s="2">
        <v>0</v>
      </c>
      <c r="I17" s="2">
        <v>0</v>
      </c>
      <c r="J17" s="2">
        <v>0</v>
      </c>
      <c r="K17" s="2">
        <v>0</v>
      </c>
      <c r="L17" s="2">
        <v>0</v>
      </c>
      <c r="M17" s="1"/>
    </row>
    <row r="18" spans="2:14" x14ac:dyDescent="0.2">
      <c r="B18" s="5" t="s">
        <v>50</v>
      </c>
      <c r="C18" s="6">
        <f t="shared" ref="C18:L18" si="13">SUM(C10:C17)</f>
        <v>20</v>
      </c>
      <c r="D18" s="6">
        <f t="shared" si="13"/>
        <v>-159</v>
      </c>
      <c r="E18" s="6">
        <f t="shared" si="13"/>
        <v>1782</v>
      </c>
      <c r="F18" s="6">
        <f t="shared" si="13"/>
        <v>1260</v>
      </c>
      <c r="G18" s="6">
        <f t="shared" si="13"/>
        <v>199</v>
      </c>
      <c r="H18" s="6">
        <f t="shared" ca="1" si="13"/>
        <v>388.49148237160642</v>
      </c>
      <c r="I18" s="6">
        <f t="shared" ca="1" si="13"/>
        <v>411.01652322305694</v>
      </c>
      <c r="J18" s="6">
        <f t="shared" ca="1" si="13"/>
        <v>456.49311033624411</v>
      </c>
      <c r="K18" s="6">
        <f t="shared" ca="1" si="13"/>
        <v>507.21262914620331</v>
      </c>
      <c r="L18" s="6">
        <f t="shared" ca="1" si="13"/>
        <v>550.9896394778998</v>
      </c>
      <c r="M18" s="1"/>
    </row>
    <row r="19" spans="2:14" x14ac:dyDescent="0.2">
      <c r="B19" s="2" t="s">
        <v>51</v>
      </c>
      <c r="C19" s="2">
        <v>0</v>
      </c>
      <c r="D19" s="2">
        <v>0</v>
      </c>
      <c r="E19" s="2">
        <v>252</v>
      </c>
      <c r="F19" s="2">
        <v>171</v>
      </c>
      <c r="G19" s="2">
        <v>11</v>
      </c>
      <c r="H19" s="2">
        <f ca="1">H18*H50</f>
        <v>97.122870592901606</v>
      </c>
      <c r="I19" s="2">
        <f ca="1">I18*I50</f>
        <v>102.75413080576423</v>
      </c>
      <c r="J19" s="2">
        <f ca="1">J18*J50</f>
        <v>114.12327758406103</v>
      </c>
      <c r="K19" s="2">
        <f ca="1">K18*K50</f>
        <v>126.80315728655083</v>
      </c>
      <c r="L19" s="2">
        <f ca="1">L18*L50</f>
        <v>137.74740986947495</v>
      </c>
      <c r="M19" s="1"/>
    </row>
    <row r="20" spans="2:14" x14ac:dyDescent="0.2">
      <c r="B20" s="2" t="s">
        <v>52</v>
      </c>
      <c r="C20" s="2">
        <v>0</v>
      </c>
      <c r="D20" s="2">
        <v>0</v>
      </c>
      <c r="E20" s="2">
        <v>-79</v>
      </c>
      <c r="F20" s="2">
        <v>92</v>
      </c>
      <c r="G20" s="2">
        <v>39</v>
      </c>
      <c r="H20" s="2">
        <v>0</v>
      </c>
      <c r="I20" s="2">
        <v>0</v>
      </c>
      <c r="J20" s="2">
        <v>0</v>
      </c>
      <c r="K20" s="2">
        <v>0</v>
      </c>
      <c r="L20" s="2">
        <v>0</v>
      </c>
      <c r="M20" s="1"/>
      <c r="N20" s="132"/>
    </row>
    <row r="21" spans="2:14" ht="17" thickBot="1" x14ac:dyDescent="0.25">
      <c r="B21" s="7" t="s">
        <v>53</v>
      </c>
      <c r="C21" s="8">
        <f>C18-C19-C20</f>
        <v>20</v>
      </c>
      <c r="D21" s="8">
        <f>D18-D19-D20</f>
        <v>-159</v>
      </c>
      <c r="E21" s="8">
        <f>E18-E19-E20</f>
        <v>1609</v>
      </c>
      <c r="F21" s="8">
        <f>F18-F19-F20</f>
        <v>997</v>
      </c>
      <c r="G21" s="8">
        <f>G18-G19-G20</f>
        <v>149</v>
      </c>
      <c r="H21" s="8">
        <f t="shared" ref="H21:K21" ca="1" si="14">H18-H19-H20</f>
        <v>291.3686117787048</v>
      </c>
      <c r="I21" s="8">
        <f t="shared" ca="1" si="14"/>
        <v>308.26239241729269</v>
      </c>
      <c r="J21" s="8">
        <f t="shared" ca="1" si="14"/>
        <v>342.36983275218307</v>
      </c>
      <c r="K21" s="8">
        <f t="shared" ca="1" si="14"/>
        <v>380.40947185965251</v>
      </c>
      <c r="L21" s="8">
        <f t="shared" ref="L21" ca="1" si="15">L18-L19-L20</f>
        <v>413.24222960842485</v>
      </c>
      <c r="M21" s="1"/>
    </row>
    <row r="22" spans="2:14" x14ac:dyDescent="0.2">
      <c r="B22" s="82" t="s">
        <v>54</v>
      </c>
      <c r="D22" s="82">
        <f t="shared" ref="D22:L22" si="16">(D19+D20)/D18</f>
        <v>0</v>
      </c>
      <c r="E22" s="82">
        <f>(E19+E20)/E18</f>
        <v>9.7081930415263751E-2</v>
      </c>
      <c r="F22" s="82">
        <f t="shared" si="16"/>
        <v>0.20873015873015874</v>
      </c>
      <c r="G22" s="82">
        <f t="shared" si="16"/>
        <v>0.25125628140703515</v>
      </c>
      <c r="H22" s="82">
        <f t="shared" ca="1" si="16"/>
        <v>0.25</v>
      </c>
      <c r="I22" s="82">
        <f t="shared" ca="1" si="16"/>
        <v>0.25</v>
      </c>
      <c r="J22" s="82">
        <f t="shared" ca="1" si="16"/>
        <v>0.25</v>
      </c>
      <c r="K22" s="82">
        <f t="shared" ca="1" si="16"/>
        <v>0.25</v>
      </c>
      <c r="L22" s="82">
        <f t="shared" ca="1" si="16"/>
        <v>0.25</v>
      </c>
      <c r="M22" s="1"/>
    </row>
    <row r="23" spans="2:14" x14ac:dyDescent="0.2">
      <c r="B23" s="9" t="s">
        <v>55</v>
      </c>
      <c r="C23" s="10"/>
      <c r="D23" s="10"/>
      <c r="E23" s="10"/>
      <c r="F23" s="10"/>
      <c r="G23" s="10"/>
      <c r="H23" s="10"/>
      <c r="I23" s="10"/>
      <c r="J23" s="10"/>
      <c r="K23" s="10"/>
      <c r="L23" s="10"/>
      <c r="M23" s="1"/>
    </row>
    <row r="24" spans="2:14" x14ac:dyDescent="0.2">
      <c r="B24" s="10" t="s">
        <v>56</v>
      </c>
      <c r="C24" s="10">
        <v>0.23</v>
      </c>
      <c r="D24" s="10">
        <v>-1.79</v>
      </c>
      <c r="E24" s="10">
        <v>19.079999999999998</v>
      </c>
      <c r="F24" s="10">
        <v>14.64</v>
      </c>
      <c r="G24" s="10">
        <v>2.7</v>
      </c>
      <c r="H24" s="10">
        <f ca="1">H21/H26</f>
        <v>5.6263973231897575</v>
      </c>
      <c r="I24" s="10">
        <f ca="1">I21/I26</f>
        <v>5.9526202529118422</v>
      </c>
      <c r="J24" s="10">
        <f ca="1">J21/J26</f>
        <v>6.611243053183931</v>
      </c>
      <c r="K24" s="10">
        <f ca="1">K21/K26</f>
        <v>7.3457975487516416</v>
      </c>
      <c r="L24" s="10">
        <f ca="1">L21/L26</f>
        <v>7.9798059245437925</v>
      </c>
      <c r="M24" s="1"/>
    </row>
    <row r="25" spans="2:14" x14ac:dyDescent="0.2">
      <c r="B25" s="10" t="s">
        <v>57</v>
      </c>
      <c r="C25" s="10">
        <v>0.23</v>
      </c>
      <c r="D25" s="10">
        <v>-1.79</v>
      </c>
      <c r="E25" s="10">
        <v>19.079999999999998</v>
      </c>
      <c r="F25" s="10">
        <v>14.64</v>
      </c>
      <c r="G25" s="10">
        <v>2.7</v>
      </c>
      <c r="H25" s="10">
        <f ca="1">H24</f>
        <v>5.6263973231897575</v>
      </c>
      <c r="I25" s="10">
        <f t="shared" ref="I25:L25" ca="1" si="17">I24</f>
        <v>5.9526202529118422</v>
      </c>
      <c r="J25" s="10">
        <f t="shared" ca="1" si="17"/>
        <v>6.611243053183931</v>
      </c>
      <c r="K25" s="10">
        <f t="shared" ca="1" si="17"/>
        <v>7.3457975487516416</v>
      </c>
      <c r="L25" s="10">
        <f t="shared" ca="1" si="17"/>
        <v>7.9798059245437925</v>
      </c>
      <c r="M25" s="1"/>
    </row>
    <row r="26" spans="2:14" x14ac:dyDescent="0.2">
      <c r="B26" s="10" t="s">
        <v>58</v>
      </c>
      <c r="C26" s="10">
        <v>88.71</v>
      </c>
      <c r="D26" s="10">
        <v>88.71</v>
      </c>
      <c r="E26" s="10">
        <v>77.319999999999993</v>
      </c>
      <c r="F26" s="10">
        <v>55.13</v>
      </c>
      <c r="G26" s="10">
        <v>55.13</v>
      </c>
      <c r="H26" s="10">
        <f>G26-3.344</f>
        <v>51.786000000000001</v>
      </c>
      <c r="I26" s="10">
        <f>$H$26</f>
        <v>51.786000000000001</v>
      </c>
      <c r="J26" s="10">
        <f>$H$26</f>
        <v>51.786000000000001</v>
      </c>
      <c r="K26" s="10">
        <f>$H$26</f>
        <v>51.786000000000001</v>
      </c>
      <c r="L26" s="10">
        <f>$H$26</f>
        <v>51.786000000000001</v>
      </c>
      <c r="M26" s="1"/>
    </row>
    <row r="27" spans="2:14" x14ac:dyDescent="0.2">
      <c r="B27" s="10" t="s">
        <v>59</v>
      </c>
      <c r="C27" s="10">
        <f>'Balance Sheet'!D69</f>
        <v>88.7</v>
      </c>
      <c r="D27" s="10">
        <f>'Balance Sheet'!E69</f>
        <v>88.7</v>
      </c>
      <c r="E27" s="10">
        <f>'Balance Sheet'!F69</f>
        <v>84.3</v>
      </c>
      <c r="F27" s="10">
        <f>'Balance Sheet'!G69</f>
        <v>68.099999999999994</v>
      </c>
      <c r="G27" s="10">
        <f>'Balance Sheet'!H69</f>
        <v>55.1</v>
      </c>
      <c r="H27" s="10"/>
      <c r="I27" s="10"/>
      <c r="J27" s="10"/>
      <c r="K27" s="10"/>
      <c r="L27" s="10"/>
      <c r="M27" s="1"/>
    </row>
    <row r="28" spans="2:14" x14ac:dyDescent="0.2">
      <c r="N28" s="1"/>
    </row>
    <row r="29" spans="2:14" x14ac:dyDescent="0.2">
      <c r="B29" s="79" t="s">
        <v>60</v>
      </c>
      <c r="C29" s="149">
        <v>0.25</v>
      </c>
      <c r="N29" s="1"/>
    </row>
    <row r="30" spans="2:14" x14ac:dyDescent="0.2">
      <c r="B30" s="12"/>
      <c r="C30" s="61"/>
      <c r="N30" s="1"/>
    </row>
    <row r="31" spans="2:14" x14ac:dyDescent="0.2">
      <c r="B31" s="9" t="s">
        <v>61</v>
      </c>
      <c r="C31" s="10"/>
      <c r="D31" s="10"/>
      <c r="E31" s="10"/>
      <c r="F31" s="10"/>
      <c r="G31" s="10"/>
      <c r="H31" s="10"/>
      <c r="I31" s="10"/>
      <c r="J31" s="10"/>
      <c r="K31" s="9"/>
      <c r="L31" s="10"/>
      <c r="M31" s="1"/>
    </row>
    <row r="32" spans="2:14" x14ac:dyDescent="0.2">
      <c r="B32" s="9"/>
      <c r="C32" s="22">
        <f t="shared" ref="C32:K32" si="18">C4</f>
        <v>2019</v>
      </c>
      <c r="D32" s="22">
        <f t="shared" si="18"/>
        <v>2020</v>
      </c>
      <c r="E32" s="22">
        <f t="shared" si="18"/>
        <v>2021</v>
      </c>
      <c r="F32" s="22">
        <f t="shared" si="18"/>
        <v>2022</v>
      </c>
      <c r="G32" s="22">
        <f t="shared" si="18"/>
        <v>2023</v>
      </c>
      <c r="H32" s="30" t="str">
        <f t="shared" si="18"/>
        <v>2024 E</v>
      </c>
      <c r="I32" s="30" t="str">
        <f t="shared" si="18"/>
        <v>2025 E</v>
      </c>
      <c r="J32" s="30" t="str">
        <f t="shared" si="18"/>
        <v>2026 E</v>
      </c>
      <c r="K32" s="30" t="str">
        <f t="shared" si="18"/>
        <v>2027 E</v>
      </c>
      <c r="L32" s="30" t="s">
        <v>8</v>
      </c>
      <c r="M32" s="1"/>
    </row>
    <row r="33" spans="1:14" x14ac:dyDescent="0.2">
      <c r="A33" s="1"/>
      <c r="B33" s="10" t="str">
        <f>B5&amp;" % change"</f>
        <v>Revenue % change</v>
      </c>
      <c r="C33" s="24">
        <f>(C5/Revenue!C4)-1</f>
        <v>-0.25162601626016257</v>
      </c>
      <c r="D33" s="23">
        <f>(D5/C5)-1</f>
        <v>-0.17599130907115701</v>
      </c>
      <c r="E33" s="23">
        <f>(E5/D5)-1</f>
        <v>1.7178642056690836</v>
      </c>
      <c r="F33" s="23">
        <f>(F5/E5)-1</f>
        <v>-0.1600776133883095</v>
      </c>
      <c r="G33" s="23">
        <f>(G5/F5)-1</f>
        <v>-0.15766676292232173</v>
      </c>
      <c r="H33" s="23">
        <f ca="1">OFFSET(H33,'DFCFF Valuation'!$C$32,0)</f>
        <v>-0.1</v>
      </c>
      <c r="I33" s="23">
        <f ca="1">OFFSET(I33,'DFCFF Valuation'!$C$32,0)</f>
        <v>0.05</v>
      </c>
      <c r="J33" s="23">
        <f ca="1">OFFSET(J33,'DFCFF Valuation'!$C$32,0)</f>
        <v>9.5000000000000001E-2</v>
      </c>
      <c r="K33" s="23">
        <f ca="1">OFFSET(K33,'DFCFF Valuation'!$C$32,0)</f>
        <v>0.1</v>
      </c>
      <c r="L33" s="23">
        <f ca="1">OFFSET(L33,'DFCFF Valuation'!$C$32,0)</f>
        <v>0.08</v>
      </c>
      <c r="M33" s="1"/>
    </row>
    <row r="34" spans="1:14" x14ac:dyDescent="0.2">
      <c r="A34" s="1"/>
      <c r="B34" s="11" t="s">
        <v>62</v>
      </c>
      <c r="C34" s="23"/>
      <c r="D34" s="23"/>
      <c r="E34" s="23"/>
      <c r="F34" s="23"/>
      <c r="G34" s="23"/>
      <c r="H34" s="31">
        <f>Revenue!I6</f>
        <v>-0.2</v>
      </c>
      <c r="I34" s="31">
        <f>Revenue!J6</f>
        <v>-0.05</v>
      </c>
      <c r="J34" s="31">
        <f>Revenue!K6</f>
        <v>-1.2499999999999997E-2</v>
      </c>
      <c r="K34" s="31">
        <f>Revenue!L6</f>
        <v>2.5000000000000008E-2</v>
      </c>
      <c r="L34" s="31">
        <f>Revenue!M6</f>
        <v>-0.05</v>
      </c>
      <c r="M34" s="1"/>
    </row>
    <row r="35" spans="1:14" x14ac:dyDescent="0.2">
      <c r="A35" s="1"/>
      <c r="B35" s="11" t="s">
        <v>63</v>
      </c>
      <c r="C35" s="23"/>
      <c r="D35" s="23"/>
      <c r="E35" s="23"/>
      <c r="F35" s="23"/>
      <c r="G35" s="23"/>
      <c r="H35" s="31">
        <f>Revenue!I7</f>
        <v>-0.18362587132899105</v>
      </c>
      <c r="I35" s="31">
        <f>Revenue!J7</f>
        <v>1.0851492419888698E-2</v>
      </c>
      <c r="J35" s="31">
        <f>Revenue!K7</f>
        <v>6.9758774849060165E-2</v>
      </c>
      <c r="K35" s="31">
        <f>Revenue!L7</f>
        <v>6.7102301752031801E-2</v>
      </c>
      <c r="L35" s="31">
        <f>Revenue!M7</f>
        <v>5.0368719279947349E-3</v>
      </c>
      <c r="M35" s="1"/>
    </row>
    <row r="36" spans="1:14" x14ac:dyDescent="0.2">
      <c r="A36" s="1"/>
      <c r="B36" s="11" t="s">
        <v>64</v>
      </c>
      <c r="C36" s="23"/>
      <c r="D36" s="23"/>
      <c r="E36" s="23"/>
      <c r="F36" s="23"/>
      <c r="G36" s="23"/>
      <c r="H36" s="31">
        <f>Revenue!I8</f>
        <v>-0.1</v>
      </c>
      <c r="I36" s="31">
        <f>Revenue!J8</f>
        <v>0.05</v>
      </c>
      <c r="J36" s="31">
        <f>Revenue!K8</f>
        <v>9.5000000000000001E-2</v>
      </c>
      <c r="K36" s="31">
        <f>Revenue!L8</f>
        <v>0.1</v>
      </c>
      <c r="L36" s="31">
        <f>Revenue!M8</f>
        <v>0.08</v>
      </c>
      <c r="M36" s="1"/>
    </row>
    <row r="37" spans="1:14" x14ac:dyDescent="0.2">
      <c r="A37" s="1"/>
      <c r="B37" s="10" t="str">
        <f>B6 &amp; " as of % of revenue"</f>
        <v>Cost of goods sold as of % of revenue</v>
      </c>
      <c r="C37" s="23">
        <f t="shared" ref="C37:G38" si="19">C6/C5</f>
        <v>0.92069527430744158</v>
      </c>
      <c r="D37" s="23">
        <f t="shared" si="19"/>
        <v>0.97099538562953203</v>
      </c>
      <c r="E37" s="23">
        <f t="shared" si="19"/>
        <v>0.48896434634974534</v>
      </c>
      <c r="F37" s="23">
        <f t="shared" si="19"/>
        <v>0.63904129367600349</v>
      </c>
      <c r="G37" s="23">
        <f t="shared" si="19"/>
        <v>0.85121700377099763</v>
      </c>
      <c r="H37" s="23">
        <f>AVERAGE(C37:G37)</f>
        <v>0.77418266074674413</v>
      </c>
      <c r="I37" s="23">
        <f>H37</f>
        <v>0.77418266074674413</v>
      </c>
      <c r="J37" s="23">
        <f>H37</f>
        <v>0.77418266074674413</v>
      </c>
      <c r="K37" s="23">
        <f>I37</f>
        <v>0.77418266074674413</v>
      </c>
      <c r="L37" s="23">
        <f t="shared" ref="L37:L39" si="20">J37</f>
        <v>0.77418266074674413</v>
      </c>
      <c r="M37" s="1"/>
    </row>
    <row r="38" spans="1:14" x14ac:dyDescent="0.2">
      <c r="A38" s="1"/>
      <c r="B38" s="10" t="s">
        <v>65</v>
      </c>
      <c r="C38" s="23">
        <f t="shared" si="19"/>
        <v>2.9498525073746312E-2</v>
      </c>
      <c r="D38" s="23">
        <f t="shared" si="19"/>
        <v>2.0366598778004071E-3</v>
      </c>
      <c r="E38" s="23">
        <f t="shared" si="19"/>
        <v>3.273809523809524E-2</v>
      </c>
      <c r="F38" s="23">
        <f t="shared" si="19"/>
        <v>4.0668775417984637E-2</v>
      </c>
      <c r="G38" s="23">
        <f t="shared" si="19"/>
        <v>1.369311316955296E-2</v>
      </c>
      <c r="H38" s="23">
        <f>AVERAGE(C38:G38)</f>
        <v>2.372703375543591E-2</v>
      </c>
      <c r="I38" s="23">
        <f>$H$38</f>
        <v>2.372703375543591E-2</v>
      </c>
      <c r="J38" s="23">
        <f t="shared" ref="J38:L38" si="21">$H$38</f>
        <v>2.372703375543591E-2</v>
      </c>
      <c r="K38" s="23">
        <f t="shared" si="21"/>
        <v>2.372703375543591E-2</v>
      </c>
      <c r="L38" s="23">
        <f t="shared" si="21"/>
        <v>2.372703375543591E-2</v>
      </c>
      <c r="M38" s="1"/>
    </row>
    <row r="39" spans="1:14" x14ac:dyDescent="0.2">
      <c r="A39" s="1"/>
      <c r="B39" s="10" t="str">
        <f>B9 &amp; " as of % of revenue"</f>
        <v>Selling, General and Administrative expenses as of % of revenue</v>
      </c>
      <c r="C39" s="23">
        <f>C9/C5</f>
        <v>2.4986420423682782E-2</v>
      </c>
      <c r="D39" s="23">
        <f>D9/D5</f>
        <v>3.1641397495056033E-2</v>
      </c>
      <c r="E39" s="23">
        <f>E9/E5</f>
        <v>1.4067426631093864E-2</v>
      </c>
      <c r="F39" s="23">
        <f>F9/F5</f>
        <v>2.1657522379439791E-2</v>
      </c>
      <c r="G39" s="23">
        <f>G9/G5</f>
        <v>3.1196434693177923E-2</v>
      </c>
      <c r="H39" s="23">
        <f>AVERAGE(C39:G39)</f>
        <v>2.4709840324490077E-2</v>
      </c>
      <c r="I39" s="23">
        <f>H39</f>
        <v>2.4709840324490077E-2</v>
      </c>
      <c r="J39" s="23">
        <f>H39</f>
        <v>2.4709840324490077E-2</v>
      </c>
      <c r="K39" s="23">
        <f>I39</f>
        <v>2.4709840324490077E-2</v>
      </c>
      <c r="L39" s="23">
        <f t="shared" si="20"/>
        <v>2.4709840324490077E-2</v>
      </c>
      <c r="M39" s="1"/>
    </row>
    <row r="40" spans="1:14" x14ac:dyDescent="0.2">
      <c r="A40" s="1"/>
      <c r="B40" s="10"/>
      <c r="C40" s="23"/>
      <c r="D40" s="23"/>
      <c r="E40" s="23"/>
      <c r="F40" s="23"/>
      <c r="G40" s="23"/>
      <c r="H40" s="23"/>
      <c r="I40" s="23"/>
      <c r="J40" s="23"/>
      <c r="K40" s="23"/>
      <c r="L40" s="23"/>
      <c r="M40" s="1"/>
    </row>
    <row r="41" spans="1:14" x14ac:dyDescent="0.2">
      <c r="A41" s="1"/>
      <c r="B41" s="10" t="str">
        <f>B11</f>
        <v>Finance costs excluding Interest costs</v>
      </c>
      <c r="C41" s="10">
        <f>-28-C43-C44</f>
        <v>-4</v>
      </c>
      <c r="D41" s="10">
        <f>-51-D43-D44</f>
        <v>-19</v>
      </c>
      <c r="E41" s="10">
        <f>-162-E43-E44</f>
        <v>-131</v>
      </c>
      <c r="F41" s="10">
        <f>-78-F43-F44</f>
        <v>-64</v>
      </c>
      <c r="G41" s="10">
        <f>-110-G43-G44</f>
        <v>-94</v>
      </c>
      <c r="H41" s="98">
        <f ca="1">H5*H42</f>
        <v>-51.023444385273329</v>
      </c>
      <c r="I41" s="98">
        <f ca="1">I5*I42</f>
        <v>-53.574616604537006</v>
      </c>
      <c r="J41" s="98">
        <f ca="1">J5*J42</f>
        <v>-58.664205181968015</v>
      </c>
      <c r="K41" s="98">
        <f ca="1">K5*K42</f>
        <v>-64.530625700164819</v>
      </c>
      <c r="L41" s="98">
        <f ca="1">L5*L42</f>
        <v>-69.693075756178004</v>
      </c>
      <c r="M41" s="1"/>
    </row>
    <row r="42" spans="1:14" x14ac:dyDescent="0.2">
      <c r="A42" s="1"/>
      <c r="B42" s="10" t="str">
        <f>B11&amp;" as a % of revenue"</f>
        <v>Finance costs excluding Interest costs as a % of revenue</v>
      </c>
      <c r="C42" s="23">
        <f>C41/C5</f>
        <v>-2.1727322107550242E-3</v>
      </c>
      <c r="D42" s="23">
        <f>D41/D5</f>
        <v>-1.2524719841793012E-2</v>
      </c>
      <c r="E42" s="23">
        <f>E41/E5</f>
        <v>-3.1772980839194762E-2</v>
      </c>
      <c r="F42" s="23">
        <f>F41/F5</f>
        <v>-1.8481085763788624E-2</v>
      </c>
      <c r="G42" s="23">
        <f>G41/G5</f>
        <v>-3.2224888584161809E-2</v>
      </c>
      <c r="H42" s="23">
        <f>AVERAGE($C$42:$G$42)</f>
        <v>-1.9435281447938647E-2</v>
      </c>
      <c r="I42" s="23">
        <f t="shared" ref="I42:L42" si="22">AVERAGE($C$42:$G$42)</f>
        <v>-1.9435281447938647E-2</v>
      </c>
      <c r="J42" s="23">
        <f t="shared" si="22"/>
        <v>-1.9435281447938647E-2</v>
      </c>
      <c r="K42" s="23">
        <f t="shared" si="22"/>
        <v>-1.9435281447938647E-2</v>
      </c>
      <c r="L42" s="23">
        <f t="shared" si="22"/>
        <v>-1.9435281447938647E-2</v>
      </c>
      <c r="M42" s="1"/>
    </row>
    <row r="43" spans="1:14" x14ac:dyDescent="0.2">
      <c r="A43" s="1"/>
      <c r="B43" s="10" t="str">
        <f>B12</f>
        <v>Interest on mortgage</v>
      </c>
      <c r="C43" s="10">
        <v>-9</v>
      </c>
      <c r="D43" s="10">
        <v>-9</v>
      </c>
      <c r="E43" s="10">
        <v>-9</v>
      </c>
      <c r="F43" s="10">
        <v>-9</v>
      </c>
      <c r="G43" s="10">
        <v>-9</v>
      </c>
      <c r="H43" s="98">
        <f>$G$43</f>
        <v>-9</v>
      </c>
      <c r="I43" s="98">
        <f t="shared" ref="I43:L43" si="23">$G$43</f>
        <v>-9</v>
      </c>
      <c r="J43" s="98">
        <f t="shared" si="23"/>
        <v>-9</v>
      </c>
      <c r="K43" s="98">
        <f t="shared" si="23"/>
        <v>-9</v>
      </c>
      <c r="L43" s="98">
        <f t="shared" si="23"/>
        <v>-9</v>
      </c>
      <c r="M43" s="1"/>
      <c r="N43" s="132"/>
    </row>
    <row r="44" spans="1:14" x14ac:dyDescent="0.2">
      <c r="A44" s="1"/>
      <c r="B44" s="10" t="str">
        <f>B13</f>
        <v>Interest Cost on Asset-based lending facility (ABL)</v>
      </c>
      <c r="C44" s="10">
        <v>-15</v>
      </c>
      <c r="D44" s="10">
        <v>-23</v>
      </c>
      <c r="E44" s="10">
        <v>-22</v>
      </c>
      <c r="F44" s="10">
        <v>-5</v>
      </c>
      <c r="G44" s="10">
        <v>-7</v>
      </c>
      <c r="H44" s="98">
        <f>G45*('Balance Sheet'!I41+('Balance Sheet'!I32/2))</f>
        <v>-4.0283018867924527</v>
      </c>
      <c r="I44" s="98">
        <f>H45*('Balance Sheet'!J41+('Balance Sheet'!J32/2))</f>
        <v>-3.3392502482621649</v>
      </c>
      <c r="J44" s="98">
        <f>I45*('Balance Sheet'!K41+('Balance Sheet'!K32/2))</f>
        <v>-1.027461614849897</v>
      </c>
      <c r="K44" s="98">
        <f>J45*('Balance Sheet'!L41+('Balance Sheet'!L32/2))</f>
        <v>0</v>
      </c>
      <c r="L44" s="98">
        <f>K45*('Balance Sheet'!M41+('Balance Sheet'!M32/2))</f>
        <v>0</v>
      </c>
      <c r="M44" s="1"/>
    </row>
    <row r="45" spans="1:14" x14ac:dyDescent="0.2">
      <c r="A45" s="1"/>
      <c r="B45" s="10" t="s">
        <v>66</v>
      </c>
      <c r="C45" s="23">
        <f>C44/('Balance Sheet'!D41+'Balance Sheet'!D32)</f>
        <v>-0.15306122448979592</v>
      </c>
      <c r="D45" s="23">
        <f>D44/('Balance Sheet'!E41+'Balance Sheet'!E32)</f>
        <v>-0.1796875</v>
      </c>
      <c r="E45" s="23">
        <f>E44/('Balance Sheet'!F41+'Balance Sheet'!F32)</f>
        <v>-0.26190476190476192</v>
      </c>
      <c r="F45" s="23">
        <f>F44/('Balance Sheet'!G41+'Balance Sheet'!G32)</f>
        <v>-7.2463768115942032E-2</v>
      </c>
      <c r="G45" s="23">
        <f>G44/('Balance Sheet'!H41+'Balance Sheet'!H32)</f>
        <v>-0.13207547169811321</v>
      </c>
      <c r="H45" s="23">
        <f>H44/('Balance Sheet'!I41+'Balance Sheet'!I32)</f>
        <v>-0.10600794438927508</v>
      </c>
      <c r="I45" s="23">
        <f>I44/('Balance Sheet'!J41+'Balance Sheet'!J32)</f>
        <v>-8.5621801237491413E-2</v>
      </c>
      <c r="J45" s="23">
        <f>J44/('Balance Sheet'!K41+'Balance Sheet'!K32)</f>
        <v>-4.2810900618745706E-2</v>
      </c>
      <c r="K45" s="23">
        <v>0</v>
      </c>
      <c r="L45" s="23">
        <v>0</v>
      </c>
      <c r="M45" s="1"/>
      <c r="N45" s="132"/>
    </row>
    <row r="46" spans="1:14" x14ac:dyDescent="0.2">
      <c r="A46" s="1"/>
      <c r="B46" s="10"/>
      <c r="C46" s="10"/>
      <c r="D46" s="10"/>
      <c r="E46" s="10"/>
      <c r="F46" s="10"/>
      <c r="G46" s="10"/>
      <c r="H46" s="98"/>
      <c r="I46" s="98"/>
      <c r="J46" s="98"/>
      <c r="K46" s="98"/>
      <c r="L46" s="98"/>
      <c r="M46" s="1"/>
    </row>
    <row r="47" spans="1:14" x14ac:dyDescent="0.2">
      <c r="A47" s="1"/>
      <c r="B47" s="10" t="s">
        <v>46</v>
      </c>
      <c r="C47" s="10">
        <v>7</v>
      </c>
      <c r="D47" s="10">
        <v>-87</v>
      </c>
      <c r="E47" s="10">
        <v>-32</v>
      </c>
      <c r="F47" s="10">
        <v>7</v>
      </c>
      <c r="G47" s="10">
        <v>9</v>
      </c>
      <c r="H47" s="10">
        <f>AVERAGE(C47:G47)</f>
        <v>-19.2</v>
      </c>
      <c r="I47" s="10">
        <f>H47</f>
        <v>-19.2</v>
      </c>
      <c r="J47" s="10">
        <f>H47</f>
        <v>-19.2</v>
      </c>
      <c r="K47" s="10">
        <f>H47</f>
        <v>-19.2</v>
      </c>
      <c r="L47" s="10">
        <f t="shared" ref="L47:L48" si="24">I47</f>
        <v>-19.2</v>
      </c>
      <c r="M47" s="1"/>
    </row>
    <row r="48" spans="1:14" x14ac:dyDescent="0.2">
      <c r="A48" s="1"/>
      <c r="B48" s="10" t="s">
        <v>47</v>
      </c>
      <c r="C48" s="10">
        <v>-6</v>
      </c>
      <c r="D48" s="10">
        <v>-13</v>
      </c>
      <c r="E48" s="10">
        <v>-7</v>
      </c>
      <c r="F48" s="10">
        <v>-15</v>
      </c>
      <c r="G48" s="10">
        <v>-11</v>
      </c>
      <c r="H48" s="10">
        <f>AVERAGE(C48:G48)</f>
        <v>-10.4</v>
      </c>
      <c r="I48" s="10">
        <f>H48</f>
        <v>-10.4</v>
      </c>
      <c r="J48" s="10">
        <f>H48</f>
        <v>-10.4</v>
      </c>
      <c r="K48" s="10">
        <f>H48</f>
        <v>-10.4</v>
      </c>
      <c r="L48" s="10">
        <f t="shared" si="24"/>
        <v>-10.4</v>
      </c>
      <c r="M48" s="1"/>
    </row>
    <row r="49" spans="1:14" x14ac:dyDescent="0.2">
      <c r="A49" s="1"/>
      <c r="B49" s="10"/>
      <c r="C49" s="10"/>
      <c r="D49" s="10"/>
      <c r="E49" s="10"/>
      <c r="F49" s="10"/>
      <c r="G49" s="10"/>
      <c r="H49" s="10"/>
      <c r="I49" s="10"/>
      <c r="J49" s="10"/>
      <c r="K49" s="10"/>
      <c r="L49" s="10"/>
      <c r="M49" s="1"/>
    </row>
    <row r="50" spans="1:14" x14ac:dyDescent="0.2">
      <c r="A50" s="1"/>
      <c r="B50" s="10" t="str">
        <f>B19&amp;" as a % of EBT"</f>
        <v>Current income tax expense as a % of EBT</v>
      </c>
      <c r="C50" s="23">
        <f>C19/C18</f>
        <v>0</v>
      </c>
      <c r="D50" s="23">
        <f>D19/D18</f>
        <v>0</v>
      </c>
      <c r="E50" s="23">
        <f>E19/E18</f>
        <v>0.14141414141414141</v>
      </c>
      <c r="F50" s="23">
        <f>F19/F18</f>
        <v>0.1357142857142857</v>
      </c>
      <c r="G50" s="23">
        <f>G19/G18</f>
        <v>5.5276381909547742E-2</v>
      </c>
      <c r="H50" s="23">
        <f>$C$29</f>
        <v>0.25</v>
      </c>
      <c r="I50" s="23">
        <f t="shared" ref="I50:L50" si="25">$C$29</f>
        <v>0.25</v>
      </c>
      <c r="J50" s="23">
        <f t="shared" si="25"/>
        <v>0.25</v>
      </c>
      <c r="K50" s="23">
        <f t="shared" si="25"/>
        <v>0.25</v>
      </c>
      <c r="L50" s="23">
        <f t="shared" si="25"/>
        <v>0.25</v>
      </c>
      <c r="M50" s="1"/>
    </row>
    <row r="51" spans="1:14" x14ac:dyDescent="0.2">
      <c r="A51" s="1"/>
      <c r="B51" s="10" t="str">
        <f>B20&amp;" as a % of EBT"</f>
        <v>Deferred Income Tax expenses (recovery) as a % of EBT</v>
      </c>
      <c r="C51" s="23">
        <f t="shared" ref="C51:L51" si="26">C20/C18</f>
        <v>0</v>
      </c>
      <c r="D51" s="23">
        <f t="shared" si="26"/>
        <v>0</v>
      </c>
      <c r="E51" s="23">
        <f t="shared" si="26"/>
        <v>-4.4332210998877665E-2</v>
      </c>
      <c r="F51" s="23">
        <f t="shared" si="26"/>
        <v>7.301587301587302E-2</v>
      </c>
      <c r="G51" s="23">
        <f t="shared" si="26"/>
        <v>0.19597989949748743</v>
      </c>
      <c r="H51" s="23">
        <f t="shared" ca="1" si="26"/>
        <v>0</v>
      </c>
      <c r="I51" s="23">
        <f t="shared" ca="1" si="26"/>
        <v>0</v>
      </c>
      <c r="J51" s="23">
        <f t="shared" ca="1" si="26"/>
        <v>0</v>
      </c>
      <c r="K51" s="23">
        <f t="shared" ca="1" si="26"/>
        <v>0</v>
      </c>
      <c r="L51" s="23">
        <f t="shared" ca="1" si="26"/>
        <v>0</v>
      </c>
      <c r="M51" s="1"/>
      <c r="N51" s="131"/>
    </row>
    <row r="52" spans="1:14" x14ac:dyDescent="0.2">
      <c r="A52" s="1"/>
      <c r="M52" s="1"/>
    </row>
    <row r="53" spans="1:14" x14ac:dyDescent="0.2">
      <c r="A53" s="1"/>
      <c r="B53" s="9" t="s">
        <v>67</v>
      </c>
      <c r="C53" s="62">
        <f t="shared" ref="C53:K53" si="27">C4</f>
        <v>2019</v>
      </c>
      <c r="D53" s="62">
        <f t="shared" si="27"/>
        <v>2020</v>
      </c>
      <c r="E53" s="62">
        <f t="shared" si="27"/>
        <v>2021</v>
      </c>
      <c r="F53" s="62">
        <f t="shared" si="27"/>
        <v>2022</v>
      </c>
      <c r="G53" s="62">
        <f t="shared" si="27"/>
        <v>2023</v>
      </c>
      <c r="H53" s="63" t="str">
        <f t="shared" si="27"/>
        <v>2024 E</v>
      </c>
      <c r="I53" s="63" t="str">
        <f t="shared" si="27"/>
        <v>2025 E</v>
      </c>
      <c r="J53" s="63" t="str">
        <f t="shared" si="27"/>
        <v>2026 E</v>
      </c>
      <c r="K53" s="63" t="str">
        <f t="shared" si="27"/>
        <v>2027 E</v>
      </c>
      <c r="L53" s="30" t="s">
        <v>8</v>
      </c>
      <c r="M53" s="1"/>
    </row>
    <row r="54" spans="1:14" x14ac:dyDescent="0.2">
      <c r="A54" s="1"/>
      <c r="B54" s="10" t="str">
        <f>B8 &amp; " as of % of revenue"</f>
        <v>Gross profit as of % of revenue</v>
      </c>
      <c r="C54" s="23">
        <f>C8/C5</f>
        <v>5.2145573058120585E-2</v>
      </c>
      <c r="D54" s="23">
        <f>D8/D5</f>
        <v>2.7027027027027029E-2</v>
      </c>
      <c r="E54" s="23">
        <f>E8/E5</f>
        <v>0.49502789231142375</v>
      </c>
      <c r="F54" s="23">
        <f>F8/F5</f>
        <v>0.33496967946866879</v>
      </c>
      <c r="G54" s="23">
        <f>G8/G5</f>
        <v>0.13712718546451835</v>
      </c>
      <c r="H54" s="23">
        <f>AVERAGE(C54:G54)</f>
        <v>0.2092594714659517</v>
      </c>
      <c r="I54" s="23">
        <f>H54</f>
        <v>0.2092594714659517</v>
      </c>
      <c r="J54" s="23">
        <f>H54</f>
        <v>0.2092594714659517</v>
      </c>
      <c r="K54" s="23">
        <f>I54</f>
        <v>0.2092594714659517</v>
      </c>
      <c r="L54" s="23">
        <f t="shared" ref="L54" si="28">J54</f>
        <v>0.2092594714659517</v>
      </c>
      <c r="M54" s="1"/>
    </row>
    <row r="55" spans="1:14" x14ac:dyDescent="0.2">
      <c r="A55" s="1"/>
      <c r="B55" s="10" t="str">
        <f>B10 &amp; " as of % of revenue"</f>
        <v>Operating Income (EBIT) as of % of revenue</v>
      </c>
      <c r="C55" s="23">
        <f t="shared" ref="C55:L55" si="29">C10/C5</f>
        <v>2.7159152634437807E-2</v>
      </c>
      <c r="D55" s="23">
        <f t="shared" si="29"/>
        <v>-4.6143704680290049E-3</v>
      </c>
      <c r="E55" s="23">
        <f t="shared" si="29"/>
        <v>0.48096046568032985</v>
      </c>
      <c r="F55" s="23">
        <f t="shared" si="29"/>
        <v>0.31331215708922899</v>
      </c>
      <c r="G55" s="23">
        <f t="shared" si="29"/>
        <v>0.10593075077134041</v>
      </c>
      <c r="H55" s="23">
        <f t="shared" ca="1" si="29"/>
        <v>0.18273844080435461</v>
      </c>
      <c r="I55" s="23">
        <f t="shared" ca="1" si="29"/>
        <v>0.1827384408043547</v>
      </c>
      <c r="J55" s="23">
        <f t="shared" ca="1" si="29"/>
        <v>0.18273844080435456</v>
      </c>
      <c r="K55" s="23">
        <f t="shared" ca="1" si="29"/>
        <v>0.18273844080435453</v>
      </c>
      <c r="L55" s="23">
        <f t="shared" ca="1" si="29"/>
        <v>0.18273844080435461</v>
      </c>
      <c r="M55" s="1"/>
    </row>
    <row r="56" spans="1:14" x14ac:dyDescent="0.2">
      <c r="A56" s="1"/>
      <c r="B56" s="10" t="str">
        <f>B18&amp;" as a % of revenue"</f>
        <v>Income before Income Tax (EBT) as a % of revenue</v>
      </c>
      <c r="C56" s="23">
        <f t="shared" ref="C56:L56" si="30">C18/C5</f>
        <v>1.0863661053775122E-2</v>
      </c>
      <c r="D56" s="23">
        <f t="shared" si="30"/>
        <v>-0.10481212920237311</v>
      </c>
      <c r="E56" s="23">
        <f t="shared" si="30"/>
        <v>0.43220955614843559</v>
      </c>
      <c r="F56" s="23">
        <f t="shared" si="30"/>
        <v>0.36384637597458852</v>
      </c>
      <c r="G56" s="23">
        <f t="shared" si="30"/>
        <v>6.8220774768597878E-2</v>
      </c>
      <c r="H56" s="23">
        <f t="shared" ca="1" si="30"/>
        <v>0.14797984320710258</v>
      </c>
      <c r="I56" s="23">
        <f t="shared" ca="1" si="30"/>
        <v>0.1491046005528826</v>
      </c>
      <c r="J56" s="23">
        <f t="shared" ca="1" si="30"/>
        <v>0.15123484671632231</v>
      </c>
      <c r="K56" s="23">
        <f t="shared" ca="1" si="30"/>
        <v>0.15276188777726685</v>
      </c>
      <c r="L56" s="23">
        <f t="shared" ca="1" si="30"/>
        <v>0.15365427055645411</v>
      </c>
      <c r="M56" s="1"/>
    </row>
    <row r="57" spans="1:14" x14ac:dyDescent="0.2">
      <c r="A57" s="1"/>
      <c r="B57" s="10" t="str">
        <f>B21&amp;" as a % of revenue"</f>
        <v>Net income as a % of revenue</v>
      </c>
      <c r="C57" s="23">
        <f t="shared" ref="C57:L57" si="31">C21/C5</f>
        <v>1.0863661053775122E-2</v>
      </c>
      <c r="D57" s="23">
        <f t="shared" si="31"/>
        <v>-0.10481212920237311</v>
      </c>
      <c r="E57" s="23">
        <f t="shared" si="31"/>
        <v>0.39024981809362114</v>
      </c>
      <c r="F57" s="23">
        <f t="shared" si="31"/>
        <v>0.28790066416401966</v>
      </c>
      <c r="G57" s="23">
        <f t="shared" si="31"/>
        <v>5.1079876585533084E-2</v>
      </c>
      <c r="H57" s="23">
        <f t="shared" ca="1" si="31"/>
        <v>0.11098488240532693</v>
      </c>
      <c r="I57" s="23">
        <f t="shared" ca="1" si="31"/>
        <v>0.11182845041466195</v>
      </c>
      <c r="J57" s="23">
        <f t="shared" ca="1" si="31"/>
        <v>0.11342613503724173</v>
      </c>
      <c r="K57" s="23">
        <f t="shared" ca="1" si="31"/>
        <v>0.11457141583295014</v>
      </c>
      <c r="L57" s="23">
        <f t="shared" ca="1" si="31"/>
        <v>0.11524070291734059</v>
      </c>
      <c r="M57" s="1"/>
    </row>
    <row r="58" spans="1:14" x14ac:dyDescent="0.2">
      <c r="M58" s="1"/>
    </row>
  </sheetData>
  <mergeCells count="1">
    <mergeCell ref="B3:L3"/>
  </mergeCells>
  <pageMargins left="0.7" right="0.7" top="0.75" bottom="0.75" header="0.3" footer="0.3"/>
  <pageSetup orientation="portrait" horizontalDpi="0" verticalDpi="0"/>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67B72-1D58-BF4F-9A76-A9DF4D1713E6}">
  <sheetPr>
    <tabColor rgb="FF00B0F0"/>
  </sheetPr>
  <dimension ref="B2:O113"/>
  <sheetViews>
    <sheetView workbookViewId="0"/>
  </sheetViews>
  <sheetFormatPr baseColWidth="10" defaultColWidth="10.83203125" defaultRowHeight="16" x14ac:dyDescent="0.2"/>
  <cols>
    <col min="1" max="1" width="2.83203125" style="2" customWidth="1"/>
    <col min="2" max="2" width="43" style="2" bestFit="1" customWidth="1"/>
    <col min="3" max="6" width="10.83203125" style="2"/>
    <col min="7" max="8" width="11" style="2" bestFit="1" customWidth="1"/>
    <col min="9" max="9" width="10.83203125" style="2"/>
    <col min="10" max="10" width="10.83203125" style="2" customWidth="1"/>
    <col min="11" max="16384" width="10.83203125" style="2"/>
  </cols>
  <sheetData>
    <row r="2" spans="2:14" ht="24" x14ac:dyDescent="0.3">
      <c r="B2" s="129" t="e" vm="1">
        <v>#VALUE!</v>
      </c>
    </row>
    <row r="3" spans="2:14" x14ac:dyDescent="0.2">
      <c r="B3" s="171" t="s">
        <v>68</v>
      </c>
      <c r="C3" s="171"/>
      <c r="D3" s="171"/>
      <c r="E3" s="171"/>
      <c r="F3" s="171"/>
      <c r="G3" s="171"/>
      <c r="H3" s="171"/>
      <c r="I3" s="171"/>
      <c r="J3" s="171"/>
      <c r="K3" s="171"/>
      <c r="L3" s="171"/>
      <c r="M3" s="171"/>
      <c r="N3" s="1"/>
    </row>
    <row r="4" spans="2:14" x14ac:dyDescent="0.2">
      <c r="B4" s="58" t="s">
        <v>69</v>
      </c>
      <c r="C4" s="58" t="s">
        <v>70</v>
      </c>
      <c r="D4" s="59">
        <v>2019</v>
      </c>
      <c r="E4" s="59">
        <v>2020</v>
      </c>
      <c r="F4" s="59">
        <v>2021</v>
      </c>
      <c r="G4" s="59">
        <v>2022</v>
      </c>
      <c r="H4" s="59">
        <v>2023</v>
      </c>
      <c r="I4" s="60" t="s">
        <v>4</v>
      </c>
      <c r="J4" s="60" t="s">
        <v>5</v>
      </c>
      <c r="K4" s="60" t="s">
        <v>6</v>
      </c>
      <c r="L4" s="60" t="s">
        <v>7</v>
      </c>
      <c r="M4" s="60" t="s">
        <v>8</v>
      </c>
      <c r="N4" s="1"/>
    </row>
    <row r="5" spans="2:14" x14ac:dyDescent="0.2">
      <c r="B5" s="13" t="s">
        <v>71</v>
      </c>
      <c r="C5" s="14" t="s">
        <v>72</v>
      </c>
      <c r="D5" s="14" t="s">
        <v>72</v>
      </c>
      <c r="E5" s="15" t="s">
        <v>72</v>
      </c>
      <c r="F5" s="15" t="s">
        <v>72</v>
      </c>
      <c r="G5" s="15" t="s">
        <v>72</v>
      </c>
      <c r="H5" s="15" t="s">
        <v>72</v>
      </c>
      <c r="I5" s="15" t="s">
        <v>72</v>
      </c>
      <c r="J5" s="15" t="s">
        <v>72</v>
      </c>
      <c r="K5" s="15" t="s">
        <v>72</v>
      </c>
      <c r="N5" s="1"/>
    </row>
    <row r="6" spans="2:14" x14ac:dyDescent="0.2">
      <c r="B6" s="13" t="s">
        <v>73</v>
      </c>
      <c r="C6" s="17" t="s">
        <v>72</v>
      </c>
      <c r="D6" s="17" t="s">
        <v>72</v>
      </c>
      <c r="E6" s="18" t="s">
        <v>72</v>
      </c>
      <c r="F6" s="18" t="s">
        <v>72</v>
      </c>
      <c r="G6" s="18" t="s">
        <v>72</v>
      </c>
      <c r="H6" s="18" t="s">
        <v>72</v>
      </c>
      <c r="I6" s="18" t="s">
        <v>72</v>
      </c>
      <c r="J6" s="18" t="s">
        <v>72</v>
      </c>
      <c r="K6" s="18" t="s">
        <v>72</v>
      </c>
      <c r="N6" s="1"/>
    </row>
    <row r="7" spans="2:14" x14ac:dyDescent="0.2">
      <c r="B7" s="54" t="s">
        <v>74</v>
      </c>
      <c r="C7" s="17"/>
      <c r="D7" s="17">
        <v>257</v>
      </c>
      <c r="E7" s="18">
        <v>59</v>
      </c>
      <c r="F7" s="18">
        <v>955</v>
      </c>
      <c r="G7" s="17">
        <v>809</v>
      </c>
      <c r="H7" s="19">
        <v>645</v>
      </c>
      <c r="I7" s="18">
        <f ca="1">I55-(I24+SUM(I8:I11))</f>
        <v>985.82883579492409</v>
      </c>
      <c r="J7" s="18">
        <f t="shared" ref="J7:M7" ca="1" si="0">J55-(J24+SUM(J8:J11))</f>
        <v>1245.7783658688959</v>
      </c>
      <c r="K7" s="18">
        <f t="shared" ca="1" si="0"/>
        <v>1495.1776247409698</v>
      </c>
      <c r="L7" s="18">
        <f t="shared" ca="1" si="0"/>
        <v>1763.6370691656307</v>
      </c>
      <c r="M7" s="18">
        <f t="shared" ca="1" si="0"/>
        <v>2204.1273757751924</v>
      </c>
      <c r="N7" s="1"/>
    </row>
    <row r="8" spans="2:14" x14ac:dyDescent="0.2">
      <c r="B8" s="54" t="s">
        <v>75</v>
      </c>
      <c r="C8" s="17"/>
      <c r="D8" s="17">
        <v>8</v>
      </c>
      <c r="E8" s="18">
        <v>8</v>
      </c>
      <c r="F8" s="18">
        <v>20</v>
      </c>
      <c r="G8" s="17">
        <v>9</v>
      </c>
      <c r="H8" s="19">
        <v>10</v>
      </c>
      <c r="I8" s="18">
        <f ca="1">AVERAGE($D$110:$H$110)*'Income Statement'!H5</f>
        <v>10.762128442127342</v>
      </c>
      <c r="J8" s="18">
        <f ca="1">AVERAGE($D$110:$H$110)*'Income Statement'!I5</f>
        <v>11.30023486423371</v>
      </c>
      <c r="K8" s="18">
        <f ca="1">AVERAGE($D$110:$H$110)*'Income Statement'!J5</f>
        <v>12.373757176335912</v>
      </c>
      <c r="L8" s="18">
        <f ca="1">AVERAGE($D$110:$H$110)*'Income Statement'!K5</f>
        <v>13.611132893969504</v>
      </c>
      <c r="M8" s="18">
        <f ca="1">AVERAGE($D$110:$H$110)*'Income Statement'!L5</f>
        <v>14.700023525487065</v>
      </c>
      <c r="N8" s="130"/>
    </row>
    <row r="9" spans="2:14" x14ac:dyDescent="0.2">
      <c r="B9" s="54" t="s">
        <v>76</v>
      </c>
      <c r="C9" s="17"/>
      <c r="D9" s="17">
        <v>158</v>
      </c>
      <c r="E9" s="18">
        <v>183</v>
      </c>
      <c r="F9" s="18">
        <v>412</v>
      </c>
      <c r="G9" s="17">
        <v>147</v>
      </c>
      <c r="H9" s="19">
        <v>185</v>
      </c>
      <c r="I9" s="18">
        <f ca="1">AVERAGE($D$111:$H$111)*'Income Statement'!H5</f>
        <v>216.45758898701058</v>
      </c>
      <c r="J9" s="18">
        <f ca="1">AVERAGE($D$111:$H$111)*'Income Statement'!I5</f>
        <v>227.28046843636116</v>
      </c>
      <c r="K9" s="18">
        <f ca="1">AVERAGE($D$111:$H$111)*'Income Statement'!J5</f>
        <v>248.87211293781544</v>
      </c>
      <c r="L9" s="18">
        <f ca="1">AVERAGE($D$111:$H$111)*'Income Statement'!K5</f>
        <v>273.75932423159702</v>
      </c>
      <c r="M9" s="18">
        <f ca="1">AVERAGE($D$111:$H$111)*'Income Statement'!L5</f>
        <v>295.66007017012475</v>
      </c>
      <c r="N9" s="1"/>
    </row>
    <row r="10" spans="2:14" x14ac:dyDescent="0.2">
      <c r="B10" s="55" t="s">
        <v>77</v>
      </c>
      <c r="C10" s="32"/>
      <c r="D10" s="32">
        <v>483</v>
      </c>
      <c r="E10" s="33">
        <v>509</v>
      </c>
      <c r="F10" s="33">
        <v>617</v>
      </c>
      <c r="G10" s="32">
        <v>789</v>
      </c>
      <c r="H10" s="34">
        <v>832</v>
      </c>
      <c r="I10" s="18">
        <f ca="1">AVERAGE($D$112:$H$112)*'Income Statement'!H5</f>
        <v>661.88961874068059</v>
      </c>
      <c r="J10" s="18">
        <f ca="1">AVERAGE($D$112:$H$112)*'Income Statement'!I5</f>
        <v>694.98409967771477</v>
      </c>
      <c r="K10" s="18">
        <f ca="1">AVERAGE($D$112:$H$112)*'Income Statement'!J5</f>
        <v>761.00758914709752</v>
      </c>
      <c r="L10" s="18">
        <f ca="1">AVERAGE($D$112:$H$112)*'Income Statement'!K5</f>
        <v>837.10834806180742</v>
      </c>
      <c r="M10" s="18">
        <f ca="1">AVERAGE($D$112:$H$112)*'Income Statement'!L5</f>
        <v>904.07701590675197</v>
      </c>
      <c r="N10" s="1"/>
    </row>
    <row r="11" spans="2:14" x14ac:dyDescent="0.2">
      <c r="B11" s="56" t="s">
        <v>78</v>
      </c>
      <c r="C11" s="35"/>
      <c r="D11" s="35">
        <v>8</v>
      </c>
      <c r="E11" s="36">
        <v>32</v>
      </c>
      <c r="F11" s="36">
        <v>11</v>
      </c>
      <c r="G11" s="35">
        <v>42</v>
      </c>
      <c r="H11" s="37">
        <v>24</v>
      </c>
      <c r="I11" s="18">
        <f ca="1">AVERAGE($D$113:$H$113)*'Income Statement'!H5</f>
        <v>25.446262795395825</v>
      </c>
      <c r="J11" s="18">
        <f ca="1">AVERAGE($D$113:$H$113)*'Income Statement'!I5</f>
        <v>26.718575935165617</v>
      </c>
      <c r="K11" s="18">
        <f ca="1">AVERAGE($D$113:$H$113)*'Income Statement'!J5</f>
        <v>29.25684064900635</v>
      </c>
      <c r="L11" s="18">
        <f ca="1">AVERAGE($D$113:$H$113)*'Income Statement'!K5</f>
        <v>32.182524713906986</v>
      </c>
      <c r="M11" s="18">
        <f ca="1">AVERAGE($D$113:$H$113)*'Income Statement'!L5</f>
        <v>34.757126691019543</v>
      </c>
      <c r="N11" s="1"/>
    </row>
    <row r="12" spans="2:14" x14ac:dyDescent="0.2">
      <c r="B12" s="42" t="s">
        <v>79</v>
      </c>
      <c r="C12" s="43"/>
      <c r="D12" s="44">
        <f t="shared" ref="D12:M12" si="1">SUM(D7:D11)</f>
        <v>914</v>
      </c>
      <c r="E12" s="44">
        <f t="shared" si="1"/>
        <v>791</v>
      </c>
      <c r="F12" s="44">
        <f t="shared" si="1"/>
        <v>2015</v>
      </c>
      <c r="G12" s="44">
        <f t="shared" si="1"/>
        <v>1796</v>
      </c>
      <c r="H12" s="44">
        <f t="shared" si="1"/>
        <v>1696</v>
      </c>
      <c r="I12" s="44">
        <f t="shared" ca="1" si="1"/>
        <v>1900.3844347601384</v>
      </c>
      <c r="J12" s="44">
        <f t="shared" ca="1" si="1"/>
        <v>2206.0617447823711</v>
      </c>
      <c r="K12" s="44">
        <f t="shared" ca="1" si="1"/>
        <v>2546.6879246512249</v>
      </c>
      <c r="L12" s="44">
        <f t="shared" ca="1" si="1"/>
        <v>2920.2983990669109</v>
      </c>
      <c r="M12" s="44">
        <f t="shared" ca="1" si="1"/>
        <v>3453.3216120685756</v>
      </c>
      <c r="N12" s="1"/>
    </row>
    <row r="13" spans="2:14" x14ac:dyDescent="0.2">
      <c r="B13" s="53"/>
      <c r="C13" s="32"/>
      <c r="D13" s="33"/>
      <c r="E13" s="33"/>
      <c r="F13" s="33"/>
      <c r="G13" s="32"/>
      <c r="H13" s="34"/>
      <c r="I13" s="33"/>
      <c r="J13" s="33"/>
      <c r="K13" s="33"/>
      <c r="L13" s="33"/>
      <c r="M13" s="33"/>
      <c r="N13" s="1"/>
    </row>
    <row r="14" spans="2:14" x14ac:dyDescent="0.2">
      <c r="B14" s="13" t="s">
        <v>80</v>
      </c>
      <c r="C14" s="17"/>
      <c r="D14" s="17"/>
      <c r="E14" s="18" t="s">
        <v>72</v>
      </c>
      <c r="F14" s="18" t="s">
        <v>72</v>
      </c>
      <c r="G14" s="17" t="s">
        <v>72</v>
      </c>
      <c r="H14" s="19" t="s">
        <v>72</v>
      </c>
      <c r="I14" s="18"/>
      <c r="J14" s="18"/>
      <c r="K14" s="18"/>
      <c r="L14" s="18"/>
      <c r="M14" s="18"/>
      <c r="N14" s="1"/>
    </row>
    <row r="15" spans="2:14" x14ac:dyDescent="0.2">
      <c r="B15" s="54" t="s">
        <v>81</v>
      </c>
      <c r="C15" s="17"/>
      <c r="D15" s="17">
        <v>0</v>
      </c>
      <c r="E15" s="18">
        <v>133</v>
      </c>
      <c r="F15" s="18">
        <v>126</v>
      </c>
      <c r="G15" s="17">
        <v>108</v>
      </c>
      <c r="H15" s="19">
        <v>71</v>
      </c>
      <c r="I15" s="18">
        <f>AVERAGE($E$15:$H$15)</f>
        <v>109.5</v>
      </c>
      <c r="J15" s="18">
        <f>AVERAGE($E$15:$H$15)</f>
        <v>109.5</v>
      </c>
      <c r="K15" s="18">
        <f>AVERAGE($E$15:$H$15)</f>
        <v>109.5</v>
      </c>
      <c r="L15" s="18">
        <f>AVERAGE($E$15:$H$15)</f>
        <v>109.5</v>
      </c>
      <c r="M15" s="2">
        <f>0</f>
        <v>0</v>
      </c>
      <c r="N15" s="130"/>
    </row>
    <row r="16" spans="2:14" x14ac:dyDescent="0.2">
      <c r="B16" s="54" t="s">
        <v>82</v>
      </c>
      <c r="C16" s="17"/>
      <c r="D16" s="17">
        <f>'Fixed Assets'!C13</f>
        <v>110</v>
      </c>
      <c r="E16" s="17">
        <f>'Fixed Assets'!D13</f>
        <v>111</v>
      </c>
      <c r="F16" s="17">
        <f>'Fixed Assets'!E13</f>
        <v>111</v>
      </c>
      <c r="G16" s="17">
        <f>'Fixed Assets'!F13</f>
        <v>50</v>
      </c>
      <c r="H16" s="19">
        <f>'Fixed Assets'!G13</f>
        <v>50</v>
      </c>
      <c r="I16" s="18">
        <f>H16</f>
        <v>50</v>
      </c>
      <c r="J16" s="18">
        <f>$I$16</f>
        <v>50</v>
      </c>
      <c r="K16" s="18">
        <f t="shared" ref="K16:M16" si="2">$I$16</f>
        <v>50</v>
      </c>
      <c r="L16" s="18">
        <f t="shared" si="2"/>
        <v>50</v>
      </c>
      <c r="M16" s="18">
        <f t="shared" si="2"/>
        <v>50</v>
      </c>
      <c r="N16" s="1"/>
    </row>
    <row r="17" spans="2:14" x14ac:dyDescent="0.2">
      <c r="B17" s="54" t="s">
        <v>83</v>
      </c>
      <c r="C17" s="17"/>
      <c r="D17" s="17">
        <f>'Fixed Assets'!C18</f>
        <v>122</v>
      </c>
      <c r="E17" s="17">
        <f>'Fixed Assets'!D18</f>
        <v>191</v>
      </c>
      <c r="F17" s="17">
        <f>'Fixed Assets'!E18</f>
        <v>284</v>
      </c>
      <c r="G17" s="17">
        <f>'Fixed Assets'!F18</f>
        <v>77</v>
      </c>
      <c r="H17" s="19">
        <f>'Fixed Assets'!G18</f>
        <v>78</v>
      </c>
      <c r="I17" s="18">
        <f>AVERAGE(D17:H17)</f>
        <v>150.4</v>
      </c>
      <c r="J17" s="18">
        <f>$I$17</f>
        <v>150.4</v>
      </c>
      <c r="K17" s="18">
        <f t="shared" ref="K17:M17" si="3">$I$17</f>
        <v>150.4</v>
      </c>
      <c r="L17" s="18">
        <f t="shared" si="3"/>
        <v>150.4</v>
      </c>
      <c r="M17" s="18">
        <f t="shared" si="3"/>
        <v>150.4</v>
      </c>
      <c r="N17" s="1"/>
    </row>
    <row r="18" spans="2:14" x14ac:dyDescent="0.2">
      <c r="B18" s="93" t="s">
        <v>84</v>
      </c>
      <c r="C18" s="17"/>
      <c r="D18" s="17">
        <f>SUM('Fixed Assets'!C14:C17)</f>
        <v>531</v>
      </c>
      <c r="E18" s="17">
        <f>SUM('Fixed Assets'!D14:D17)</f>
        <v>674</v>
      </c>
      <c r="F18" s="17">
        <f>SUM('Fixed Assets'!E14:E17)</f>
        <v>810</v>
      </c>
      <c r="G18" s="17">
        <f>SUM('Fixed Assets'!F14:F17)</f>
        <v>1347</v>
      </c>
      <c r="H18" s="19">
        <f>SUM('Fixed Assets'!G14:G17)</f>
        <v>1531</v>
      </c>
      <c r="I18" s="17">
        <f ca="1">I20-I19-I17-I16</f>
        <v>1165.8616078681971</v>
      </c>
      <c r="J18" s="17">
        <f t="shared" ref="J18:M18" ca="1" si="4">J20-J19-J17-J16</f>
        <v>1265.0563551109483</v>
      </c>
      <c r="K18" s="17">
        <f t="shared" ca="1" si="4"/>
        <v>1415.0606998846101</v>
      </c>
      <c r="L18" s="17">
        <f t="shared" ca="1" si="4"/>
        <v>1586.0155482417367</v>
      </c>
      <c r="M18" s="17">
        <f t="shared" ca="1" si="4"/>
        <v>1751.8387711042906</v>
      </c>
      <c r="N18" s="130"/>
    </row>
    <row r="19" spans="2:14" x14ac:dyDescent="0.2">
      <c r="B19" s="93" t="s">
        <v>85</v>
      </c>
      <c r="C19" s="17"/>
      <c r="D19" s="17">
        <f>'Fixed Assets'!C21</f>
        <v>-93</v>
      </c>
      <c r="E19" s="17">
        <f>'Fixed Assets'!D21</f>
        <v>-131</v>
      </c>
      <c r="F19" s="17">
        <f>'Fixed Assets'!E21</f>
        <v>-197</v>
      </c>
      <c r="G19" s="17">
        <f>'Fixed Assets'!F21</f>
        <v>-275</v>
      </c>
      <c r="H19" s="19">
        <f>'Fixed Assets'!G21</f>
        <v>-396</v>
      </c>
      <c r="I19" s="18">
        <f ca="1">H19-'Fixed Assets'!$C$43*AVERAGE('Balance Sheet'!H18:I18)</f>
        <v>-455.52830309908302</v>
      </c>
      <c r="J19" s="18">
        <f ca="1">I19-'Fixed Assets'!$C$43*AVERAGE('Balance Sheet'!I18:J18)</f>
        <v>-509.18638510337854</v>
      </c>
      <c r="K19" s="18">
        <f ca="1">J19-'Fixed Assets'!$C$43*AVERAGE('Balance Sheet'!J18:K18)</f>
        <v>-568.34508272632115</v>
      </c>
      <c r="L19" s="18">
        <f ca="1">K19-'Fixed Assets'!$C$43*AVERAGE('Balance Sheet'!K18:L18)</f>
        <v>-634.58836936761884</v>
      </c>
      <c r="M19" s="18">
        <f ca="1">L19-'Fixed Assets'!$C$43*AVERAGE('Balance Sheet'!L18:M18)</f>
        <v>-708.26541792024318</v>
      </c>
      <c r="N19" s="1"/>
    </row>
    <row r="20" spans="2:14" x14ac:dyDescent="0.2">
      <c r="B20" s="54" t="s">
        <v>86</v>
      </c>
      <c r="C20" s="17"/>
      <c r="D20" s="17">
        <v>670</v>
      </c>
      <c r="E20" s="18">
        <v>845</v>
      </c>
      <c r="F20" s="18">
        <v>1008</v>
      </c>
      <c r="G20" s="17">
        <v>1199</v>
      </c>
      <c r="H20" s="19">
        <v>1263</v>
      </c>
      <c r="I20" s="18">
        <f ca="1">'Income Statement'!H5*'Fixed Assets'!$C$25</f>
        <v>910.73330476911417</v>
      </c>
      <c r="J20" s="18">
        <f ca="1">'Income Statement'!I5*'Fixed Assets'!$C$25</f>
        <v>956.2699700075699</v>
      </c>
      <c r="K20" s="18">
        <f ca="1">'Income Statement'!J5*'Fixed Assets'!$C$25</f>
        <v>1047.1156171582891</v>
      </c>
      <c r="L20" s="18">
        <f ca="1">'Income Statement'!K5*'Fixed Assets'!$C$25</f>
        <v>1151.8271788741179</v>
      </c>
      <c r="M20" s="18">
        <f ca="1">'Income Statement'!L5*'Fixed Assets'!$C$25</f>
        <v>1243.9733531840475</v>
      </c>
      <c r="N20" s="1"/>
    </row>
    <row r="21" spans="2:14" x14ac:dyDescent="0.2">
      <c r="B21" s="54" t="s">
        <v>87</v>
      </c>
      <c r="C21" s="17"/>
      <c r="D21" s="17">
        <v>7</v>
      </c>
      <c r="E21" s="18">
        <v>8</v>
      </c>
      <c r="F21" s="18">
        <v>8</v>
      </c>
      <c r="G21" s="17">
        <v>8</v>
      </c>
      <c r="H21" s="19">
        <v>13</v>
      </c>
      <c r="I21" s="18">
        <f>$H$21</f>
        <v>13</v>
      </c>
      <c r="J21" s="18">
        <f t="shared" ref="J21:M21" si="5">$H$21</f>
        <v>13</v>
      </c>
      <c r="K21" s="18">
        <f t="shared" si="5"/>
        <v>13</v>
      </c>
      <c r="L21" s="18">
        <f t="shared" si="5"/>
        <v>13</v>
      </c>
      <c r="M21" s="18">
        <f t="shared" si="5"/>
        <v>13</v>
      </c>
      <c r="N21" s="1"/>
    </row>
    <row r="22" spans="2:14" x14ac:dyDescent="0.2">
      <c r="B22" s="54" t="s">
        <v>88</v>
      </c>
      <c r="C22" s="17"/>
      <c r="D22" s="17">
        <v>3</v>
      </c>
      <c r="E22" s="18">
        <v>2</v>
      </c>
      <c r="F22" s="18">
        <v>2</v>
      </c>
      <c r="G22" s="17">
        <v>18</v>
      </c>
      <c r="H22" s="19">
        <v>19</v>
      </c>
      <c r="I22" s="18">
        <f>$H$22</f>
        <v>19</v>
      </c>
      <c r="J22" s="18">
        <f t="shared" ref="J22:M22" si="6">$H$22</f>
        <v>19</v>
      </c>
      <c r="K22" s="18">
        <f t="shared" si="6"/>
        <v>19</v>
      </c>
      <c r="L22" s="18">
        <f t="shared" si="6"/>
        <v>19</v>
      </c>
      <c r="M22" s="18">
        <f t="shared" si="6"/>
        <v>19</v>
      </c>
      <c r="N22" s="1"/>
    </row>
    <row r="23" spans="2:14" x14ac:dyDescent="0.2">
      <c r="B23" s="55" t="s">
        <v>89</v>
      </c>
      <c r="C23" s="32"/>
      <c r="D23" s="32">
        <v>0</v>
      </c>
      <c r="E23" s="33">
        <v>0</v>
      </c>
      <c r="F23" s="33">
        <v>78</v>
      </c>
      <c r="G23" s="32">
        <v>2</v>
      </c>
      <c r="H23" s="34">
        <v>3</v>
      </c>
      <c r="I23" s="33">
        <f>H23</f>
        <v>3</v>
      </c>
      <c r="J23" s="33">
        <f>$I$23</f>
        <v>3</v>
      </c>
      <c r="K23" s="33">
        <f t="shared" ref="K23:M23" si="7">$I$23</f>
        <v>3</v>
      </c>
      <c r="L23" s="33">
        <f t="shared" si="7"/>
        <v>3</v>
      </c>
      <c r="M23" s="33">
        <f t="shared" si="7"/>
        <v>3</v>
      </c>
      <c r="N23" s="1"/>
    </row>
    <row r="24" spans="2:14" x14ac:dyDescent="0.2">
      <c r="B24" s="42" t="s">
        <v>90</v>
      </c>
      <c r="C24" s="43"/>
      <c r="D24" s="44">
        <f>D15+D20+D21+D22+D23</f>
        <v>680</v>
      </c>
      <c r="E24" s="44">
        <f t="shared" ref="E24:M24" si="8">E15+E20+E21+E22+E23</f>
        <v>988</v>
      </c>
      <c r="F24" s="44">
        <f t="shared" si="8"/>
        <v>1222</v>
      </c>
      <c r="G24" s="44">
        <f t="shared" si="8"/>
        <v>1335</v>
      </c>
      <c r="H24" s="44">
        <f t="shared" si="8"/>
        <v>1369</v>
      </c>
      <c r="I24" s="44">
        <f t="shared" ca="1" si="8"/>
        <v>1055.2333047691141</v>
      </c>
      <c r="J24" s="44">
        <f t="shared" ca="1" si="8"/>
        <v>1100.76997000757</v>
      </c>
      <c r="K24" s="44">
        <f t="shared" ca="1" si="8"/>
        <v>1191.6156171582891</v>
      </c>
      <c r="L24" s="44">
        <f t="shared" ca="1" si="8"/>
        <v>1296.3271788741179</v>
      </c>
      <c r="M24" s="44">
        <f t="shared" ca="1" si="8"/>
        <v>1278.9733531840475</v>
      </c>
      <c r="N24" s="1"/>
    </row>
    <row r="25" spans="2:14" ht="17" thickBot="1" x14ac:dyDescent="0.25">
      <c r="B25" s="48" t="s">
        <v>91</v>
      </c>
      <c r="C25" s="49"/>
      <c r="D25" s="50">
        <f>D24+D12</f>
        <v>1594</v>
      </c>
      <c r="E25" s="50">
        <f>E24+E12</f>
        <v>1779</v>
      </c>
      <c r="F25" s="50">
        <f>F24+F12</f>
        <v>3237</v>
      </c>
      <c r="G25" s="49">
        <v>3131</v>
      </c>
      <c r="H25" s="51">
        <v>3065</v>
      </c>
      <c r="I25" s="50">
        <f ca="1">I24+I12</f>
        <v>2955.6177395292525</v>
      </c>
      <c r="J25" s="50">
        <f t="shared" ref="J25:M25" ca="1" si="9">J24+J12</f>
        <v>3306.8317147899411</v>
      </c>
      <c r="K25" s="50">
        <f t="shared" ca="1" si="9"/>
        <v>3738.3035418095142</v>
      </c>
      <c r="L25" s="50">
        <f t="shared" ca="1" si="9"/>
        <v>4216.6255779410285</v>
      </c>
      <c r="M25" s="50">
        <f t="shared" ca="1" si="9"/>
        <v>4732.2949652526231</v>
      </c>
      <c r="N25" s="1"/>
    </row>
    <row r="26" spans="2:14" x14ac:dyDescent="0.2">
      <c r="B26" s="46" t="s">
        <v>72</v>
      </c>
      <c r="C26" s="18"/>
      <c r="D26" s="18"/>
      <c r="E26" s="18" t="s">
        <v>72</v>
      </c>
      <c r="F26" s="18" t="s">
        <v>72</v>
      </c>
      <c r="G26" s="18" t="s">
        <v>72</v>
      </c>
      <c r="H26" s="47" t="s">
        <v>72</v>
      </c>
      <c r="I26" s="18" t="s">
        <v>72</v>
      </c>
      <c r="J26" s="18" t="s">
        <v>72</v>
      </c>
      <c r="K26" s="18" t="s">
        <v>72</v>
      </c>
      <c r="N26" s="1"/>
    </row>
    <row r="27" spans="2:14" x14ac:dyDescent="0.2">
      <c r="B27" s="13" t="s">
        <v>92</v>
      </c>
      <c r="C27" s="17"/>
      <c r="D27" s="17"/>
      <c r="E27" s="18" t="s">
        <v>72</v>
      </c>
      <c r="F27" s="18" t="s">
        <v>72</v>
      </c>
      <c r="G27" s="17" t="s">
        <v>72</v>
      </c>
      <c r="H27" s="19" t="s">
        <v>72</v>
      </c>
      <c r="I27" s="18" t="s">
        <v>72</v>
      </c>
      <c r="J27" s="18" t="s">
        <v>72</v>
      </c>
      <c r="K27" s="18" t="s">
        <v>72</v>
      </c>
      <c r="N27" s="1"/>
    </row>
    <row r="28" spans="2:14" x14ac:dyDescent="0.2">
      <c r="B28" s="13" t="s">
        <v>93</v>
      </c>
      <c r="C28" s="17"/>
      <c r="D28" s="17"/>
      <c r="E28" s="18" t="s">
        <v>72</v>
      </c>
      <c r="F28" s="18" t="s">
        <v>72</v>
      </c>
      <c r="G28" s="17" t="s">
        <v>72</v>
      </c>
      <c r="H28" s="19" t="s">
        <v>72</v>
      </c>
      <c r="I28" s="18" t="s">
        <v>72</v>
      </c>
      <c r="J28" s="18" t="s">
        <v>72</v>
      </c>
      <c r="K28" s="18" t="s">
        <v>72</v>
      </c>
      <c r="N28" s="1"/>
    </row>
    <row r="29" spans="2:14" x14ac:dyDescent="0.2">
      <c r="B29" s="54" t="s">
        <v>94</v>
      </c>
      <c r="C29" s="17"/>
      <c r="D29" s="17">
        <v>444</v>
      </c>
      <c r="E29" s="18">
        <v>668</v>
      </c>
      <c r="F29" s="18">
        <v>717</v>
      </c>
      <c r="G29" s="17">
        <v>663</v>
      </c>
      <c r="H29" s="19">
        <v>780</v>
      </c>
      <c r="I29" s="18">
        <f ca="1">AVERAGE($D$83,$F$83,$G$83,$H$83)*'Income Statement'!H5</f>
        <v>573.57966773250655</v>
      </c>
      <c r="J29" s="18">
        <f ca="1">AVERAGE($D$83,$F$83,$G$83,$H$83)*'Income Statement'!I5</f>
        <v>602.25865111913197</v>
      </c>
      <c r="K29" s="18">
        <f ca="1">AVERAGE($D$83,$F$83,$G$83,$H$83)*'Income Statement'!J5</f>
        <v>659.4732229754494</v>
      </c>
      <c r="L29" s="18">
        <f ca="1">AVERAGE($D$83,$F$83,$G$83,$H$83)*'Income Statement'!K5</f>
        <v>725.42054527299433</v>
      </c>
      <c r="M29" s="18">
        <f ca="1">AVERAGE($D$83,$F$83,$G$83,$H$83)*'Income Statement'!L5</f>
        <v>783.45418889483392</v>
      </c>
      <c r="N29" s="130"/>
    </row>
    <row r="30" spans="2:14" x14ac:dyDescent="0.2">
      <c r="B30" s="54" t="s">
        <v>95</v>
      </c>
      <c r="C30" s="17"/>
      <c r="D30" s="17">
        <v>0</v>
      </c>
      <c r="E30" s="18">
        <v>84</v>
      </c>
      <c r="F30" s="18">
        <v>0</v>
      </c>
      <c r="G30" s="17">
        <v>0</v>
      </c>
      <c r="H30" s="19">
        <v>0</v>
      </c>
      <c r="I30" s="18">
        <f>$H$30</f>
        <v>0</v>
      </c>
      <c r="J30" s="18">
        <f t="shared" ref="J30:M30" si="10">$H$30</f>
        <v>0</v>
      </c>
      <c r="K30" s="18">
        <f t="shared" si="10"/>
        <v>0</v>
      </c>
      <c r="L30" s="18">
        <f t="shared" si="10"/>
        <v>0</v>
      </c>
      <c r="M30" s="18">
        <f t="shared" si="10"/>
        <v>0</v>
      </c>
      <c r="N30" s="130"/>
    </row>
    <row r="31" spans="2:14" x14ac:dyDescent="0.2">
      <c r="B31" s="54" t="s">
        <v>96</v>
      </c>
      <c r="C31" s="17"/>
      <c r="D31" s="17">
        <v>34</v>
      </c>
      <c r="E31" s="18">
        <v>44</v>
      </c>
      <c r="F31" s="18">
        <v>62</v>
      </c>
      <c r="G31" s="17">
        <v>83</v>
      </c>
      <c r="H31" s="19">
        <v>73</v>
      </c>
      <c r="I31" s="18">
        <f ca="1">AVERAGE($D$94:$H$94)*'Income Statement'!H5</f>
        <v>58.546186064964608</v>
      </c>
      <c r="J31" s="18">
        <f ca="1">AVERAGE($D$94:$H$94)*'Income Statement'!I5</f>
        <v>61.473495368212845</v>
      </c>
      <c r="K31" s="18">
        <f ca="1">AVERAGE($D$94:$H$94)*'Income Statement'!J5</f>
        <v>67.313477428193053</v>
      </c>
      <c r="L31" s="18">
        <f ca="1">AVERAGE($D$94:$H$94)*'Income Statement'!K5</f>
        <v>74.044825171012363</v>
      </c>
      <c r="M31" s="18">
        <f ca="1">AVERAGE($D$94:$H$94)*'Income Statement'!L5</f>
        <v>79.968411184693366</v>
      </c>
      <c r="N31" s="1"/>
    </row>
    <row r="32" spans="2:14" x14ac:dyDescent="0.2">
      <c r="B32" s="54" t="s">
        <v>97</v>
      </c>
      <c r="C32" s="17"/>
      <c r="D32" s="17">
        <v>8</v>
      </c>
      <c r="E32" s="18">
        <v>15</v>
      </c>
      <c r="F32" s="18">
        <v>15</v>
      </c>
      <c r="G32" s="17">
        <v>15</v>
      </c>
      <c r="H32" s="19">
        <v>15</v>
      </c>
      <c r="I32" s="18">
        <v>15</v>
      </c>
      <c r="J32" s="18">
        <v>15</v>
      </c>
      <c r="K32" s="18">
        <v>24</v>
      </c>
      <c r="L32" s="18">
        <v>0</v>
      </c>
      <c r="M32" s="18">
        <v>0</v>
      </c>
      <c r="N32" s="130"/>
    </row>
    <row r="33" spans="2:14" x14ac:dyDescent="0.2">
      <c r="B33" s="54" t="s">
        <v>98</v>
      </c>
      <c r="C33" s="17"/>
      <c r="D33" s="17">
        <v>0</v>
      </c>
      <c r="E33" s="18">
        <v>0</v>
      </c>
      <c r="F33" s="18">
        <v>252</v>
      </c>
      <c r="G33" s="17">
        <v>2</v>
      </c>
      <c r="H33" s="19">
        <v>2</v>
      </c>
      <c r="I33" s="18">
        <f ca="1">AVERAGE($G$99,$H$99)*'Income Statement'!H5</f>
        <v>1.6580999133699108</v>
      </c>
      <c r="J33" s="18">
        <f ca="1">AVERAGE($G$99,$H$99)*'Income Statement'!I5</f>
        <v>1.7410049090384063</v>
      </c>
      <c r="K33" s="18">
        <f ca="1">AVERAGE($G$99,$H$99)*'Income Statement'!J5</f>
        <v>1.9064003753970549</v>
      </c>
      <c r="L33" s="18">
        <f ca="1">AVERAGE($G$99,$H$99)*'Income Statement'!K5</f>
        <v>2.0970404129367606</v>
      </c>
      <c r="M33" s="18">
        <f ca="1">AVERAGE($G$99,$H$99)*'Income Statement'!L5</f>
        <v>2.2648036459717016</v>
      </c>
      <c r="N33" s="1"/>
    </row>
    <row r="34" spans="2:14" x14ac:dyDescent="0.2">
      <c r="B34" s="55" t="s">
        <v>99</v>
      </c>
      <c r="C34" s="32"/>
      <c r="D34" s="32">
        <v>35</v>
      </c>
      <c r="E34" s="33">
        <v>36</v>
      </c>
      <c r="F34" s="33">
        <v>212</v>
      </c>
      <c r="G34" s="32">
        <v>143</v>
      </c>
      <c r="H34" s="34">
        <v>45</v>
      </c>
      <c r="I34" s="33">
        <f ca="1">AVERAGE($D$100,$E$100,$H$100)*'Income Statement'!H5</f>
        <v>50.903922340220213</v>
      </c>
      <c r="J34" s="33">
        <f ca="1">AVERAGE($D$100,$E$100,$H$100)*'Income Statement'!I5</f>
        <v>53.449118457231229</v>
      </c>
      <c r="K34" s="33">
        <f ca="1">AVERAGE($D$100,$E$100,$H$100)*'Income Statement'!J5</f>
        <v>58.526784710668196</v>
      </c>
      <c r="L34" s="33">
        <f ca="1">AVERAGE($D$100,$E$100,$H$100)*'Income Statement'!K5</f>
        <v>64.379463181735019</v>
      </c>
      <c r="M34" s="33">
        <f ca="1">AVERAGE($D$100,$E$100,$H$100)*'Income Statement'!L5</f>
        <v>69.529820236273821</v>
      </c>
      <c r="N34" s="130"/>
    </row>
    <row r="35" spans="2:14" x14ac:dyDescent="0.2">
      <c r="B35" s="38" t="s">
        <v>100</v>
      </c>
      <c r="C35" s="39"/>
      <c r="D35" s="40">
        <f>SUM(D29:D34)</f>
        <v>521</v>
      </c>
      <c r="E35" s="40">
        <f>SUM(E29:E34)</f>
        <v>847</v>
      </c>
      <c r="F35" s="40">
        <f>SUM(F29:F34)</f>
        <v>1258</v>
      </c>
      <c r="G35" s="39">
        <v>906</v>
      </c>
      <c r="H35" s="41">
        <v>915</v>
      </c>
      <c r="I35" s="40">
        <f t="shared" ref="I35:M35" ca="1" si="11">SUM(I29:I34)</f>
        <v>699.68787605106127</v>
      </c>
      <c r="J35" s="40">
        <f t="shared" ca="1" si="11"/>
        <v>733.92226985361447</v>
      </c>
      <c r="K35" s="40">
        <f t="shared" ca="1" si="11"/>
        <v>811.21988548970774</v>
      </c>
      <c r="L35" s="40">
        <f t="shared" ca="1" si="11"/>
        <v>865.94187403867841</v>
      </c>
      <c r="M35" s="40">
        <f t="shared" ca="1" si="11"/>
        <v>935.21722396177279</v>
      </c>
      <c r="N35" s="1"/>
    </row>
    <row r="36" spans="2:14" x14ac:dyDescent="0.2">
      <c r="B36" s="16" t="s">
        <v>72</v>
      </c>
      <c r="C36" s="17"/>
      <c r="D36" s="17"/>
      <c r="E36" s="18" t="s">
        <v>72</v>
      </c>
      <c r="F36" s="18" t="s">
        <v>72</v>
      </c>
      <c r="G36" s="17" t="s">
        <v>72</v>
      </c>
      <c r="H36" s="19" t="s">
        <v>72</v>
      </c>
      <c r="I36" s="18" t="s">
        <v>72</v>
      </c>
      <c r="J36" s="18" t="s">
        <v>72</v>
      </c>
      <c r="K36" s="18" t="s">
        <v>72</v>
      </c>
      <c r="N36" s="1"/>
    </row>
    <row r="37" spans="2:14" x14ac:dyDescent="0.2">
      <c r="B37" s="13" t="s">
        <v>101</v>
      </c>
      <c r="C37" s="17"/>
      <c r="D37" s="17"/>
      <c r="E37" s="18" t="s">
        <v>72</v>
      </c>
      <c r="F37" s="18" t="s">
        <v>72</v>
      </c>
      <c r="G37" s="17" t="s">
        <v>72</v>
      </c>
      <c r="H37" s="19" t="s">
        <v>72</v>
      </c>
      <c r="I37" s="18" t="s">
        <v>72</v>
      </c>
      <c r="J37" s="18" t="s">
        <v>72</v>
      </c>
      <c r="K37" s="18" t="s">
        <v>72</v>
      </c>
      <c r="N37" s="1"/>
    </row>
    <row r="38" spans="2:14" x14ac:dyDescent="0.2">
      <c r="B38" s="54" t="s">
        <v>102</v>
      </c>
      <c r="C38" s="17"/>
      <c r="D38" s="17">
        <v>6</v>
      </c>
      <c r="E38" s="18">
        <v>6</v>
      </c>
      <c r="F38" s="18">
        <v>7</v>
      </c>
      <c r="G38" s="17">
        <v>18</v>
      </c>
      <c r="H38" s="19">
        <v>18</v>
      </c>
      <c r="I38" s="19">
        <f t="shared" ref="I38:M38" si="12">$H$38</f>
        <v>18</v>
      </c>
      <c r="J38" s="19">
        <f t="shared" si="12"/>
        <v>18</v>
      </c>
      <c r="K38" s="19">
        <f t="shared" si="12"/>
        <v>18</v>
      </c>
      <c r="L38" s="19">
        <f t="shared" si="12"/>
        <v>18</v>
      </c>
      <c r="M38" s="19">
        <f t="shared" si="12"/>
        <v>18</v>
      </c>
      <c r="N38" s="1"/>
    </row>
    <row r="39" spans="2:14" x14ac:dyDescent="0.2">
      <c r="B39" s="54" t="s">
        <v>103</v>
      </c>
      <c r="C39" s="17"/>
      <c r="D39" s="17">
        <v>7</v>
      </c>
      <c r="E39" s="18">
        <v>11</v>
      </c>
      <c r="F39" s="18">
        <v>11</v>
      </c>
      <c r="G39" s="17">
        <v>11</v>
      </c>
      <c r="H39" s="19">
        <v>13</v>
      </c>
      <c r="I39" s="18">
        <f>H39*(1+(_xlfn.RRI(5,$D$39,$H$39)))</f>
        <v>14.713378753203024</v>
      </c>
      <c r="J39" s="18">
        <f t="shared" ref="J39:M39" si="13">I39*(1+(_xlfn.RRI(5,$D$39,$H$39)))</f>
        <v>16.65257802578509</v>
      </c>
      <c r="K39" s="18">
        <f t="shared" si="13"/>
        <v>18.8473605931263</v>
      </c>
      <c r="L39" s="18">
        <f t="shared" si="13"/>
        <v>21.331411915758494</v>
      </c>
      <c r="M39" s="18">
        <f t="shared" si="13"/>
        <v>24.142857142857139</v>
      </c>
      <c r="N39" s="1"/>
    </row>
    <row r="40" spans="2:14" x14ac:dyDescent="0.2">
      <c r="B40" s="54" t="s">
        <v>96</v>
      </c>
      <c r="C40" s="17"/>
      <c r="D40" s="17">
        <v>48</v>
      </c>
      <c r="E40" s="18">
        <v>59</v>
      </c>
      <c r="F40" s="18">
        <v>71</v>
      </c>
      <c r="G40" s="17">
        <v>404</v>
      </c>
      <c r="H40" s="19">
        <v>429</v>
      </c>
      <c r="I40" s="18">
        <f ca="1">AVERAGE($G$96:$H$96)*'Income Statement'!H5</f>
        <v>346.18618250072194</v>
      </c>
      <c r="J40" s="18">
        <f ca="1">AVERAGE($G$96:$H$96)*'Income Statement'!I5</f>
        <v>363.49549162575812</v>
      </c>
      <c r="K40" s="18">
        <f ca="1">AVERAGE($G$96:$H$96)*'Income Statement'!J5</f>
        <v>398.02756333020511</v>
      </c>
      <c r="L40" s="18">
        <f ca="1">AVERAGE($G$96:$H$96)*'Income Statement'!K5</f>
        <v>437.83031966322562</v>
      </c>
      <c r="M40" s="18">
        <f ca="1">AVERAGE($G$96:$H$96)*'Income Statement'!L5</f>
        <v>472.8567452362837</v>
      </c>
      <c r="N40" s="130"/>
    </row>
    <row r="41" spans="2:14" x14ac:dyDescent="0.2">
      <c r="B41" s="54" t="s">
        <v>97</v>
      </c>
      <c r="C41" s="17"/>
      <c r="D41" s="17">
        <v>90</v>
      </c>
      <c r="E41" s="18">
        <v>113</v>
      </c>
      <c r="F41" s="18">
        <v>69</v>
      </c>
      <c r="G41" s="17">
        <v>54</v>
      </c>
      <c r="H41" s="19">
        <v>38</v>
      </c>
      <c r="I41" s="18">
        <f>H41-I32</f>
        <v>23</v>
      </c>
      <c r="J41" s="18">
        <f>8+16</f>
        <v>24</v>
      </c>
      <c r="K41" s="18">
        <v>0</v>
      </c>
      <c r="L41" s="2">
        <v>0</v>
      </c>
      <c r="M41" s="2">
        <v>0</v>
      </c>
      <c r="N41" s="130"/>
    </row>
    <row r="42" spans="2:14" x14ac:dyDescent="0.2">
      <c r="B42" s="54" t="s">
        <v>104</v>
      </c>
      <c r="C42" s="17"/>
      <c r="D42" s="17">
        <v>0</v>
      </c>
      <c r="E42" s="18">
        <v>0</v>
      </c>
      <c r="F42" s="18">
        <v>0</v>
      </c>
      <c r="G42" s="17">
        <v>18</v>
      </c>
      <c r="H42" s="19">
        <v>58</v>
      </c>
      <c r="I42" s="18">
        <f>H42</f>
        <v>58</v>
      </c>
      <c r="J42" s="18">
        <f>$I$42</f>
        <v>58</v>
      </c>
      <c r="K42" s="18">
        <f t="shared" ref="K42:M42" si="14">$I$42</f>
        <v>58</v>
      </c>
      <c r="L42" s="18">
        <f t="shared" si="14"/>
        <v>58</v>
      </c>
      <c r="M42" s="18">
        <f t="shared" si="14"/>
        <v>58</v>
      </c>
      <c r="N42" s="1"/>
    </row>
    <row r="43" spans="2:14" x14ac:dyDescent="0.2">
      <c r="B43" s="55" t="s">
        <v>99</v>
      </c>
      <c r="C43" s="32"/>
      <c r="D43" s="32">
        <v>472</v>
      </c>
      <c r="E43" s="33">
        <v>462</v>
      </c>
      <c r="F43" s="33">
        <v>383</v>
      </c>
      <c r="G43" s="32">
        <v>315</v>
      </c>
      <c r="H43" s="34">
        <v>298</v>
      </c>
      <c r="I43" s="33">
        <f ca="1">AVERAGE($F$101,$G$101,$H$101)*'Income Statement'!H5</f>
        <v>250.29161387255269</v>
      </c>
      <c r="J43" s="33">
        <f ca="1">AVERAGE($F$101,$G$101,$H$101)*'Income Statement'!I5</f>
        <v>262.80619456618035</v>
      </c>
      <c r="K43" s="33">
        <f ca="1">AVERAGE($F$101,$G$101,$H$101)*'Income Statement'!J5</f>
        <v>287.77278304996747</v>
      </c>
      <c r="L43" s="33">
        <f ca="1">AVERAGE($F$101,$G$101,$H$101)*'Income Statement'!K5</f>
        <v>316.55006135496421</v>
      </c>
      <c r="M43" s="33">
        <f ca="1">AVERAGE($F$101,$G$101,$H$101)*'Income Statement'!L5</f>
        <v>341.87406626336139</v>
      </c>
      <c r="N43" s="1"/>
    </row>
    <row r="44" spans="2:14" x14ac:dyDescent="0.2">
      <c r="B44" s="42" t="s">
        <v>105</v>
      </c>
      <c r="C44" s="43"/>
      <c r="D44" s="44">
        <f>SUM(D38:D43)</f>
        <v>623</v>
      </c>
      <c r="E44" s="44">
        <f>SUM(E38:E43)</f>
        <v>651</v>
      </c>
      <c r="F44" s="44">
        <f>SUM(F38:F43)</f>
        <v>541</v>
      </c>
      <c r="G44" s="43">
        <v>820</v>
      </c>
      <c r="H44" s="45">
        <v>854</v>
      </c>
      <c r="I44" s="44">
        <f ca="1">SUM(I38:I43)</f>
        <v>710.19117512647767</v>
      </c>
      <c r="J44" s="44">
        <f t="shared" ref="J44:M44" ca="1" si="15">SUM(J38:J43)</f>
        <v>742.95426421772356</v>
      </c>
      <c r="K44" s="44">
        <f t="shared" ca="1" si="15"/>
        <v>780.64770697329891</v>
      </c>
      <c r="L44" s="44">
        <f t="shared" ca="1" si="15"/>
        <v>851.71179293394835</v>
      </c>
      <c r="M44" s="44">
        <f t="shared" ca="1" si="15"/>
        <v>914.87366864250225</v>
      </c>
      <c r="N44" s="1"/>
    </row>
    <row r="45" spans="2:14" ht="17" thickBot="1" x14ac:dyDescent="0.25">
      <c r="B45" s="48" t="s">
        <v>106</v>
      </c>
      <c r="C45" s="49"/>
      <c r="D45" s="52">
        <f>D44+D35</f>
        <v>1144</v>
      </c>
      <c r="E45" s="52">
        <f>E44+E35</f>
        <v>1498</v>
      </c>
      <c r="F45" s="52">
        <f>F44+F35</f>
        <v>1799</v>
      </c>
      <c r="G45" s="49">
        <v>1726</v>
      </c>
      <c r="H45" s="51">
        <v>1769</v>
      </c>
      <c r="I45" s="52">
        <f ca="1">I35+I44</f>
        <v>1409.8790511775389</v>
      </c>
      <c r="J45" s="52">
        <f t="shared" ref="J45:M45" ca="1" si="16">J35+J44</f>
        <v>1476.876534071338</v>
      </c>
      <c r="K45" s="52">
        <f t="shared" ca="1" si="16"/>
        <v>1591.8675924630065</v>
      </c>
      <c r="L45" s="52">
        <f t="shared" ca="1" si="16"/>
        <v>1717.6536669726268</v>
      </c>
      <c r="M45" s="52">
        <f t="shared" ca="1" si="16"/>
        <v>1850.090892604275</v>
      </c>
      <c r="N45" s="1"/>
    </row>
    <row r="46" spans="2:14" x14ac:dyDescent="0.2">
      <c r="B46" s="46" t="s">
        <v>72</v>
      </c>
      <c r="C46" s="18"/>
      <c r="D46" s="18"/>
      <c r="E46" s="18" t="s">
        <v>72</v>
      </c>
      <c r="F46" s="18" t="s">
        <v>72</v>
      </c>
      <c r="G46" s="18" t="s">
        <v>72</v>
      </c>
      <c r="H46" s="47" t="s">
        <v>72</v>
      </c>
      <c r="I46" s="18" t="s">
        <v>72</v>
      </c>
      <c r="J46" s="18" t="s">
        <v>72</v>
      </c>
      <c r="K46" s="18" t="s">
        <v>72</v>
      </c>
      <c r="N46" s="1"/>
    </row>
    <row r="47" spans="2:14" x14ac:dyDescent="0.2">
      <c r="B47" s="13" t="s">
        <v>107</v>
      </c>
      <c r="C47" s="17"/>
      <c r="I47" s="18" t="s">
        <v>72</v>
      </c>
      <c r="J47" s="18" t="s">
        <v>72</v>
      </c>
      <c r="K47" s="18" t="s">
        <v>72</v>
      </c>
      <c r="N47" s="1"/>
    </row>
    <row r="48" spans="2:14" x14ac:dyDescent="0.2">
      <c r="B48" s="16" t="s">
        <v>108</v>
      </c>
      <c r="C48" s="17"/>
      <c r="D48" s="17">
        <v>512</v>
      </c>
      <c r="E48" s="18">
        <v>512</v>
      </c>
      <c r="F48" s="18">
        <v>512</v>
      </c>
      <c r="G48" s="17">
        <v>318</v>
      </c>
      <c r="H48" s="19">
        <v>318</v>
      </c>
      <c r="I48" s="18">
        <f>H50</f>
        <v>318</v>
      </c>
      <c r="J48" s="18">
        <f>I50</f>
        <v>298.70403605715057</v>
      </c>
      <c r="K48" s="18">
        <f>$J$48</f>
        <v>298.70403605715057</v>
      </c>
      <c r="L48" s="18">
        <f t="shared" ref="L48:M48" si="17">$J$48</f>
        <v>298.70403605715057</v>
      </c>
      <c r="M48" s="18">
        <f t="shared" si="17"/>
        <v>298.70403605715057</v>
      </c>
      <c r="N48" s="1"/>
    </row>
    <row r="49" spans="2:14" x14ac:dyDescent="0.2">
      <c r="B49" s="16" t="s">
        <v>109</v>
      </c>
      <c r="C49" s="17"/>
      <c r="D49" s="36">
        <v>0</v>
      </c>
      <c r="E49" s="36">
        <v>0</v>
      </c>
      <c r="F49" s="36">
        <v>-66</v>
      </c>
      <c r="G49" s="35">
        <v>-128</v>
      </c>
      <c r="H49" s="37">
        <v>0</v>
      </c>
      <c r="I49" s="18">
        <f>-3344684*G60*10^-6</f>
        <v>-19.295963942849415</v>
      </c>
      <c r="J49" s="18">
        <v>0</v>
      </c>
      <c r="K49" s="18">
        <f>$J$49</f>
        <v>0</v>
      </c>
      <c r="L49" s="18">
        <f t="shared" ref="L49:M49" si="18">$J$49</f>
        <v>0</v>
      </c>
      <c r="M49" s="18">
        <f t="shared" si="18"/>
        <v>0</v>
      </c>
      <c r="N49" s="1"/>
    </row>
    <row r="50" spans="2:14" x14ac:dyDescent="0.2">
      <c r="B50" s="16" t="s">
        <v>110</v>
      </c>
      <c r="C50" s="17"/>
      <c r="D50" s="36">
        <f t="shared" ref="D50:I50" si="19">D48+D49</f>
        <v>512</v>
      </c>
      <c r="E50" s="36">
        <f t="shared" si="19"/>
        <v>512</v>
      </c>
      <c r="F50" s="36">
        <f t="shared" si="19"/>
        <v>446</v>
      </c>
      <c r="G50" s="36">
        <f t="shared" si="19"/>
        <v>190</v>
      </c>
      <c r="H50" s="36">
        <f t="shared" si="19"/>
        <v>318</v>
      </c>
      <c r="I50" s="36">
        <f t="shared" si="19"/>
        <v>298.70403605715057</v>
      </c>
      <c r="J50" s="18">
        <f>$I$50</f>
        <v>298.70403605715057</v>
      </c>
      <c r="K50" s="18">
        <f t="shared" ref="K50:M50" si="20">$I$50</f>
        <v>298.70403605715057</v>
      </c>
      <c r="L50" s="18">
        <f t="shared" si="20"/>
        <v>298.70403605715057</v>
      </c>
      <c r="M50" s="18">
        <f t="shared" si="20"/>
        <v>298.70403605715057</v>
      </c>
      <c r="N50" s="1"/>
    </row>
    <row r="51" spans="2:14" x14ac:dyDescent="0.2">
      <c r="B51" s="119" t="s">
        <v>111</v>
      </c>
      <c r="C51" s="17"/>
      <c r="D51" s="36">
        <f>'Income Statement'!C21</f>
        <v>20</v>
      </c>
      <c r="E51" s="36">
        <f>'Income Statement'!D21</f>
        <v>-159</v>
      </c>
      <c r="F51" s="36">
        <f>'Income Statement'!E21</f>
        <v>1609</v>
      </c>
      <c r="G51" s="36">
        <f>'Income Statement'!F21</f>
        <v>997</v>
      </c>
      <c r="H51" s="36">
        <f>'Income Statement'!G21</f>
        <v>149</v>
      </c>
      <c r="I51" s="36">
        <f ca="1">'Income Statement'!H21</f>
        <v>291.3686117787048</v>
      </c>
      <c r="J51" s="36">
        <f ca="1">'Income Statement'!I21</f>
        <v>308.26239241729269</v>
      </c>
      <c r="K51" s="36">
        <f ca="1">'Income Statement'!J21</f>
        <v>342.36983275218307</v>
      </c>
      <c r="L51" s="36">
        <f ca="1">'Income Statement'!K21</f>
        <v>380.40947185965251</v>
      </c>
      <c r="M51" s="36">
        <f ca="1">'Income Statement'!L21</f>
        <v>413.24222960842485</v>
      </c>
      <c r="N51" s="1"/>
    </row>
    <row r="52" spans="2:14" x14ac:dyDescent="0.2">
      <c r="B52" s="120" t="s">
        <v>112</v>
      </c>
      <c r="C52" s="32"/>
      <c r="D52" s="36">
        <f>D61</f>
        <v>136</v>
      </c>
      <c r="E52" s="36">
        <f>E61</f>
        <v>9</v>
      </c>
      <c r="F52" s="36">
        <f>F61</f>
        <v>56</v>
      </c>
      <c r="G52" s="36">
        <f>G61</f>
        <v>251</v>
      </c>
      <c r="H52" s="36">
        <f>H61</f>
        <v>258</v>
      </c>
      <c r="I52" s="36">
        <f ca="1">D68*I51</f>
        <v>22.333959484141662</v>
      </c>
      <c r="J52" s="33">
        <f ca="1">I52*(1+$D$68)</f>
        <v>24.045900050403226</v>
      </c>
      <c r="K52" s="33">
        <f ca="1">J52*(1+$D$68)</f>
        <v>25.889064124278519</v>
      </c>
      <c r="L52" s="33">
        <f ca="1">K52*(1+$D$68)</f>
        <v>27.873510237757383</v>
      </c>
      <c r="M52" s="33">
        <f ca="1">L52*(1+$D$68)</f>
        <v>30.010067928479717</v>
      </c>
      <c r="N52" s="1"/>
    </row>
    <row r="53" spans="2:14" x14ac:dyDescent="0.2">
      <c r="B53" s="121" t="s">
        <v>113</v>
      </c>
      <c r="C53" s="39"/>
      <c r="D53" s="39">
        <v>-62</v>
      </c>
      <c r="E53" s="40">
        <v>-231</v>
      </c>
      <c r="F53" s="40">
        <v>992</v>
      </c>
      <c r="G53" s="39">
        <v>1087</v>
      </c>
      <c r="H53" s="41">
        <v>978</v>
      </c>
      <c r="I53" s="40">
        <f ca="1">(I51-I52)+H53</f>
        <v>1247.0346522945631</v>
      </c>
      <c r="J53" s="40">
        <f t="shared" ref="J53:M53" ca="1" si="21">(J51-J52)+I53</f>
        <v>1531.2511446614526</v>
      </c>
      <c r="K53" s="40">
        <f t="shared" ca="1" si="21"/>
        <v>1847.7319132893572</v>
      </c>
      <c r="L53" s="40">
        <f t="shared" ca="1" si="21"/>
        <v>2200.2678749112524</v>
      </c>
      <c r="M53" s="40">
        <f t="shared" ca="1" si="21"/>
        <v>2583.5000365911974</v>
      </c>
      <c r="N53" s="1"/>
    </row>
    <row r="54" spans="2:14" x14ac:dyDescent="0.2">
      <c r="B54" s="53" t="s">
        <v>114</v>
      </c>
      <c r="C54" s="32"/>
      <c r="D54" s="33">
        <f t="shared" ref="D54:M54" si="22">D53+D50</f>
        <v>450</v>
      </c>
      <c r="E54" s="33">
        <f t="shared" si="22"/>
        <v>281</v>
      </c>
      <c r="F54" s="33">
        <f t="shared" si="22"/>
        <v>1438</v>
      </c>
      <c r="G54" s="33">
        <f t="shared" si="22"/>
        <v>1277</v>
      </c>
      <c r="H54" s="33">
        <f t="shared" si="22"/>
        <v>1296</v>
      </c>
      <c r="I54" s="33">
        <f t="shared" ca="1" si="22"/>
        <v>1545.7386883517138</v>
      </c>
      <c r="J54" s="33">
        <f t="shared" ca="1" si="22"/>
        <v>1829.9551807186031</v>
      </c>
      <c r="K54" s="33">
        <f t="shared" ca="1" si="22"/>
        <v>2146.4359493465076</v>
      </c>
      <c r="L54" s="33">
        <f t="shared" ca="1" si="22"/>
        <v>2498.9719109684029</v>
      </c>
      <c r="M54" s="33">
        <f t="shared" ca="1" si="22"/>
        <v>2882.2040726483478</v>
      </c>
      <c r="N54" s="1"/>
    </row>
    <row r="55" spans="2:14" ht="17" thickBot="1" x14ac:dyDescent="0.25">
      <c r="B55" s="48" t="s">
        <v>115</v>
      </c>
      <c r="C55" s="49"/>
      <c r="D55" s="52">
        <f>D54+D45</f>
        <v>1594</v>
      </c>
      <c r="E55" s="52">
        <f>E54+E45</f>
        <v>1779</v>
      </c>
      <c r="F55" s="52">
        <f>F54+F45</f>
        <v>3237</v>
      </c>
      <c r="G55" s="49">
        <v>3131</v>
      </c>
      <c r="H55" s="51">
        <v>3065</v>
      </c>
      <c r="I55" s="52">
        <f ca="1">I45+I54</f>
        <v>2955.6177395292525</v>
      </c>
      <c r="J55" s="52">
        <f t="shared" ref="J55:M55" ca="1" si="23">J45+J54</f>
        <v>3306.8317147899411</v>
      </c>
      <c r="K55" s="52">
        <f t="shared" ca="1" si="23"/>
        <v>3738.3035418095142</v>
      </c>
      <c r="L55" s="52">
        <f t="shared" ca="1" si="23"/>
        <v>4216.6255779410294</v>
      </c>
      <c r="M55" s="52">
        <f t="shared" ca="1" si="23"/>
        <v>4732.2949652526231</v>
      </c>
      <c r="N55" s="1"/>
    </row>
    <row r="56" spans="2:14" x14ac:dyDescent="0.2">
      <c r="B56" s="141" t="s">
        <v>116</v>
      </c>
      <c r="C56" s="141"/>
      <c r="D56" s="142"/>
      <c r="E56" s="142"/>
      <c r="F56" s="142"/>
      <c r="G56" s="141"/>
      <c r="H56" s="140"/>
      <c r="I56" s="142">
        <f ca="1">I55-I25</f>
        <v>0</v>
      </c>
      <c r="J56" s="142">
        <f t="shared" ref="J56:M56" ca="1" si="24">J55-J25</f>
        <v>0</v>
      </c>
      <c r="K56" s="142">
        <f t="shared" ca="1" si="24"/>
        <v>0</v>
      </c>
      <c r="L56" s="142">
        <f t="shared" ca="1" si="24"/>
        <v>0</v>
      </c>
      <c r="M56" s="142">
        <f t="shared" ca="1" si="24"/>
        <v>0</v>
      </c>
      <c r="N56" s="1"/>
    </row>
    <row r="57" spans="2:14" x14ac:dyDescent="0.2">
      <c r="B57" s="37"/>
      <c r="C57" s="35"/>
      <c r="D57" s="36"/>
      <c r="E57" s="36"/>
      <c r="F57" s="36"/>
      <c r="G57" s="35"/>
      <c r="H57" s="37"/>
      <c r="I57" s="36"/>
      <c r="J57" s="36"/>
      <c r="K57" s="36"/>
      <c r="L57" s="36"/>
      <c r="M57" s="36"/>
      <c r="N57" s="36"/>
    </row>
    <row r="58" spans="2:14" x14ac:dyDescent="0.2">
      <c r="B58" s="37"/>
      <c r="C58" s="35"/>
      <c r="I58" s="36"/>
      <c r="J58" s="36"/>
      <c r="K58" s="36"/>
      <c r="L58" s="36"/>
      <c r="M58" s="36"/>
      <c r="N58" s="36"/>
    </row>
    <row r="59" spans="2:14" x14ac:dyDescent="0.2">
      <c r="B59" s="10"/>
      <c r="C59" s="10"/>
      <c r="D59" s="127">
        <v>2019</v>
      </c>
      <c r="E59" s="127">
        <v>2020</v>
      </c>
      <c r="F59" s="127">
        <v>2021</v>
      </c>
      <c r="G59" s="128">
        <v>2022</v>
      </c>
      <c r="H59" s="128">
        <v>2023</v>
      </c>
      <c r="I59" s="36"/>
      <c r="J59" s="36"/>
      <c r="K59" s="36"/>
      <c r="L59" s="36"/>
      <c r="M59" s="36"/>
      <c r="N59" s="36"/>
    </row>
    <row r="60" spans="2:14" x14ac:dyDescent="0.2">
      <c r="B60" s="114" t="s">
        <v>117</v>
      </c>
      <c r="C60" s="115"/>
      <c r="D60" s="116"/>
      <c r="E60" s="116"/>
      <c r="F60" s="117">
        <f>-F49*10^6/11398000</f>
        <v>5.7904895595718546</v>
      </c>
      <c r="G60" s="114">
        <f>-G49*10^6/22187000</f>
        <v>5.7691440933880198</v>
      </c>
      <c r="H60" s="114"/>
      <c r="I60" s="36"/>
      <c r="J60" s="36"/>
      <c r="K60" s="36"/>
      <c r="L60" s="36"/>
      <c r="M60" s="36"/>
      <c r="N60" s="36"/>
    </row>
    <row r="61" spans="2:14" x14ac:dyDescent="0.2">
      <c r="B61" s="10" t="s">
        <v>118</v>
      </c>
      <c r="C61" s="10"/>
      <c r="D61" s="10">
        <v>136</v>
      </c>
      <c r="E61" s="10">
        <v>9</v>
      </c>
      <c r="F61" s="10">
        <v>56</v>
      </c>
      <c r="G61" s="10">
        <f>22+21+19+189</f>
        <v>251</v>
      </c>
      <c r="H61" s="10">
        <f>189+23+23+23</f>
        <v>258</v>
      </c>
      <c r="I61" s="36"/>
      <c r="J61" s="36"/>
      <c r="K61" s="36"/>
      <c r="L61" s="36"/>
      <c r="M61" s="36"/>
      <c r="N61" s="36"/>
    </row>
    <row r="62" spans="2:14" x14ac:dyDescent="0.2">
      <c r="B62" s="10" t="s">
        <v>119</v>
      </c>
      <c r="C62" s="10"/>
      <c r="D62" s="10">
        <v>0.4</v>
      </c>
      <c r="E62" s="10">
        <v>0.1</v>
      </c>
      <c r="F62" s="10">
        <v>0.7</v>
      </c>
      <c r="G62" s="10">
        <v>1.32</v>
      </c>
      <c r="H62" s="10">
        <v>1.68</v>
      </c>
      <c r="I62" s="36"/>
      <c r="J62" s="36"/>
      <c r="K62" s="36"/>
      <c r="L62" s="36"/>
      <c r="M62" s="36"/>
      <c r="N62" s="36"/>
    </row>
    <row r="63" spans="2:14" x14ac:dyDescent="0.2">
      <c r="B63" s="10" t="s">
        <v>120</v>
      </c>
      <c r="C63" s="10"/>
      <c r="D63" s="10">
        <v>0</v>
      </c>
      <c r="E63" s="10">
        <v>0</v>
      </c>
      <c r="F63" s="10">
        <v>0</v>
      </c>
      <c r="G63" s="10">
        <v>3</v>
      </c>
      <c r="H63" s="10">
        <v>0</v>
      </c>
      <c r="I63" s="36"/>
      <c r="J63" s="36"/>
      <c r="K63" s="36"/>
      <c r="L63" s="36"/>
      <c r="M63" s="36"/>
      <c r="N63" s="36"/>
    </row>
    <row r="64" spans="2:14" x14ac:dyDescent="0.2">
      <c r="B64" s="118" t="s">
        <v>121</v>
      </c>
      <c r="C64" s="118"/>
      <c r="D64" s="31">
        <f>D62/'Income Statement'!C25</f>
        <v>1.7391304347826086</v>
      </c>
      <c r="E64" s="31">
        <f>E62/'Income Statement'!D25</f>
        <v>-5.5865921787709501E-2</v>
      </c>
      <c r="F64" s="31">
        <f>F62/'Income Statement'!E25</f>
        <v>3.668763102725367E-2</v>
      </c>
      <c r="G64" s="31">
        <f>G62/'Income Statement'!F25</f>
        <v>9.0163934426229511E-2</v>
      </c>
      <c r="H64" s="31">
        <f>H62/'Income Statement'!G25</f>
        <v>0.62222222222222212</v>
      </c>
      <c r="I64" s="36"/>
      <c r="J64" s="36"/>
      <c r="K64" s="36"/>
      <c r="L64" s="36"/>
      <c r="M64" s="36"/>
      <c r="N64" s="36"/>
    </row>
    <row r="65" spans="2:14" x14ac:dyDescent="0.2">
      <c r="B65" s="118" t="s">
        <v>122</v>
      </c>
      <c r="C65" s="118"/>
      <c r="D65" s="31">
        <f>_xlfn.RRI(5,D61,H61)</f>
        <v>0.13662226616234574</v>
      </c>
      <c r="E65" s="10"/>
      <c r="F65" s="10"/>
      <c r="G65" s="10"/>
      <c r="H65" s="10"/>
      <c r="I65" s="36"/>
      <c r="J65" s="36"/>
      <c r="K65" s="36"/>
      <c r="L65" s="36"/>
      <c r="M65" s="36"/>
      <c r="N65" s="36"/>
    </row>
    <row r="66" spans="2:14" x14ac:dyDescent="0.2">
      <c r="B66" s="10" t="s">
        <v>123</v>
      </c>
      <c r="C66" s="10"/>
      <c r="D66" s="65" t="s">
        <v>124</v>
      </c>
      <c r="E66" s="23">
        <f>E62/D62-1</f>
        <v>-0.75</v>
      </c>
      <c r="F66" s="23">
        <f t="shared" ref="F66:H66" si="25">F62/E62-1</f>
        <v>5.9999999999999991</v>
      </c>
      <c r="G66" s="23">
        <f t="shared" si="25"/>
        <v>0.8857142857142859</v>
      </c>
      <c r="H66" s="23">
        <f t="shared" si="25"/>
        <v>0.27272727272727271</v>
      </c>
      <c r="I66" s="36"/>
      <c r="J66" s="36"/>
      <c r="K66" s="36"/>
      <c r="L66" s="36"/>
      <c r="M66" s="36"/>
      <c r="N66" s="36"/>
    </row>
    <row r="67" spans="2:14" x14ac:dyDescent="0.2">
      <c r="B67" s="10" t="s">
        <v>125</v>
      </c>
      <c r="C67" s="10"/>
      <c r="D67" s="23">
        <f>D61/'Income Statement'!C21</f>
        <v>6.8</v>
      </c>
      <c r="E67" s="23">
        <f>E61/'Income Statement'!D21</f>
        <v>-5.6603773584905662E-2</v>
      </c>
      <c r="F67" s="23">
        <f>F61/'Income Statement'!E21</f>
        <v>3.4804226227470481E-2</v>
      </c>
      <c r="G67" s="23">
        <f>G61/'Income Statement'!F21</f>
        <v>0.25175526579739216</v>
      </c>
      <c r="H67" s="23">
        <f>H61/'Income Statement'!G21</f>
        <v>1.7315436241610738</v>
      </c>
      <c r="I67" s="122"/>
      <c r="J67" s="36"/>
      <c r="K67" s="36"/>
      <c r="L67" s="36"/>
      <c r="M67" s="36"/>
      <c r="N67" s="36"/>
    </row>
    <row r="68" spans="2:14" x14ac:dyDescent="0.2">
      <c r="B68" s="10" t="s">
        <v>126</v>
      </c>
      <c r="C68" s="10"/>
      <c r="D68" s="23">
        <f>AVERAGE(E67:G67)</f>
        <v>7.6651906146652335E-2</v>
      </c>
      <c r="E68" s="23"/>
      <c r="F68" s="23"/>
      <c r="G68" s="23"/>
      <c r="H68" s="23"/>
      <c r="I68" s="133"/>
      <c r="J68" s="36"/>
      <c r="K68" s="36"/>
      <c r="L68" s="36"/>
      <c r="M68" s="36"/>
      <c r="N68" s="36"/>
    </row>
    <row r="69" spans="2:14" x14ac:dyDescent="0.2">
      <c r="B69" s="10" t="s">
        <v>59</v>
      </c>
      <c r="C69" s="10"/>
      <c r="D69" s="10">
        <v>88.7</v>
      </c>
      <c r="E69" s="10">
        <v>88.7</v>
      </c>
      <c r="F69" s="112">
        <v>84.3</v>
      </c>
      <c r="G69" s="112">
        <v>68.099999999999994</v>
      </c>
      <c r="H69" s="112">
        <v>55.1</v>
      </c>
      <c r="I69" s="36"/>
      <c r="J69" s="36"/>
      <c r="K69" s="36"/>
      <c r="L69" s="36"/>
      <c r="M69" s="36"/>
      <c r="N69" s="36"/>
    </row>
    <row r="70" spans="2:14" x14ac:dyDescent="0.2">
      <c r="B70" s="10" t="str">
        <f>'Income Statement'!B26</f>
        <v>No. of outstanding shares (in millions) at year end</v>
      </c>
      <c r="C70" s="10"/>
      <c r="D70" s="10">
        <f>'Income Statement'!C26</f>
        <v>88.71</v>
      </c>
      <c r="E70" s="10">
        <f>'Income Statement'!D26</f>
        <v>88.71</v>
      </c>
      <c r="F70" s="10">
        <f>'Income Statement'!E26</f>
        <v>77.319999999999993</v>
      </c>
      <c r="G70" s="10">
        <f>'Income Statement'!F26</f>
        <v>55.13</v>
      </c>
      <c r="H70" s="10">
        <f>'Income Statement'!G26</f>
        <v>55.13</v>
      </c>
      <c r="I70" s="36"/>
      <c r="J70" s="36"/>
      <c r="K70" s="36"/>
      <c r="L70" s="36"/>
      <c r="M70" s="36"/>
      <c r="N70" s="36"/>
    </row>
    <row r="71" spans="2:14" x14ac:dyDescent="0.2">
      <c r="B71" s="37"/>
      <c r="C71" s="35"/>
      <c r="D71" s="36">
        <f>D61/D70</f>
        <v>1.5330853342351483</v>
      </c>
      <c r="E71" s="36"/>
      <c r="F71" s="113"/>
      <c r="G71" s="37"/>
      <c r="H71" s="37"/>
      <c r="I71" s="36"/>
      <c r="J71" s="36"/>
      <c r="K71" s="36"/>
      <c r="L71" s="36"/>
      <c r="M71" s="36"/>
      <c r="N71" s="36"/>
    </row>
    <row r="72" spans="2:14" x14ac:dyDescent="0.2">
      <c r="B72" s="114" t="s">
        <v>127</v>
      </c>
      <c r="C72" s="115"/>
      <c r="D72" s="143">
        <f>D4</f>
        <v>2019</v>
      </c>
      <c r="E72" s="143">
        <f>E4</f>
        <v>2020</v>
      </c>
      <c r="F72" s="143">
        <f>F4</f>
        <v>2021</v>
      </c>
      <c r="G72" s="143">
        <f>G4</f>
        <v>2022</v>
      </c>
      <c r="H72" s="143">
        <f>H4</f>
        <v>2023</v>
      </c>
      <c r="I72" s="36"/>
      <c r="J72" s="36"/>
      <c r="K72" s="36"/>
      <c r="L72" s="36"/>
      <c r="M72" s="36"/>
      <c r="N72" s="36"/>
    </row>
    <row r="73" spans="2:14" x14ac:dyDescent="0.2">
      <c r="B73" s="115" t="s">
        <v>97</v>
      </c>
      <c r="C73" s="115"/>
      <c r="D73" s="116">
        <f>D32+D41</f>
        <v>98</v>
      </c>
      <c r="E73" s="116">
        <f>E32+E41</f>
        <v>128</v>
      </c>
      <c r="F73" s="116">
        <f>F32+F41</f>
        <v>84</v>
      </c>
      <c r="G73" s="116">
        <f>G32+G41</f>
        <v>69</v>
      </c>
      <c r="H73" s="116">
        <f>H32+H41</f>
        <v>53</v>
      </c>
      <c r="I73" s="36"/>
      <c r="J73" s="36"/>
      <c r="K73" s="36"/>
      <c r="L73" s="36"/>
      <c r="M73" s="36"/>
      <c r="N73" s="36"/>
    </row>
    <row r="74" spans="2:14" x14ac:dyDescent="0.2">
      <c r="B74" s="115" t="s">
        <v>128</v>
      </c>
      <c r="C74" s="115"/>
      <c r="D74" s="116"/>
      <c r="E74" s="116"/>
      <c r="F74" s="117"/>
      <c r="G74" s="114"/>
      <c r="H74" s="114"/>
      <c r="I74" s="36"/>
      <c r="J74" s="36"/>
      <c r="K74" s="36"/>
      <c r="L74" s="36"/>
      <c r="M74" s="36"/>
      <c r="N74" s="36"/>
    </row>
    <row r="75" spans="2:14" x14ac:dyDescent="0.2">
      <c r="B75" s="37"/>
      <c r="C75" s="35"/>
      <c r="D75" s="36"/>
      <c r="E75" s="36"/>
      <c r="F75" s="113"/>
      <c r="G75" s="37"/>
      <c r="H75" s="37"/>
      <c r="I75" s="36"/>
      <c r="J75" s="36"/>
      <c r="K75" s="36"/>
      <c r="L75" s="36"/>
      <c r="M75" s="36"/>
      <c r="N75" s="36"/>
    </row>
    <row r="76" spans="2:14" x14ac:dyDescent="0.2">
      <c r="B76" s="9" t="s">
        <v>129</v>
      </c>
      <c r="C76" s="10"/>
      <c r="D76" s="92">
        <f>D4</f>
        <v>2019</v>
      </c>
      <c r="E76" s="92">
        <f>E4</f>
        <v>2020</v>
      </c>
      <c r="F76" s="92">
        <f>F4</f>
        <v>2021</v>
      </c>
      <c r="G76" s="92">
        <f>G4</f>
        <v>2022</v>
      </c>
      <c r="H76" s="92">
        <f>H4</f>
        <v>2023</v>
      </c>
      <c r="I76" s="36"/>
      <c r="J76" s="36"/>
      <c r="K76" s="36"/>
      <c r="L76" s="36"/>
      <c r="M76" s="36"/>
      <c r="N76" s="36"/>
    </row>
    <row r="77" spans="2:14" x14ac:dyDescent="0.2">
      <c r="B77" s="10" t="s">
        <v>130</v>
      </c>
      <c r="C77" s="10"/>
      <c r="D77" s="23">
        <f>SUM(D8:D11)/'Income Statement'!C5</f>
        <v>0.35687126561651278</v>
      </c>
      <c r="E77" s="23">
        <f>SUM(E8:E11)/'Income Statement'!D5</f>
        <v>0.48253131179960446</v>
      </c>
      <c r="F77" s="23">
        <f>SUM(F8:F11)/'Income Statement'!E5</f>
        <v>0.25709434877516374</v>
      </c>
      <c r="G77" s="23">
        <f>SUM(G8:G11)/'Income Statement'!F5</f>
        <v>0.28501299451342765</v>
      </c>
      <c r="H77" s="23">
        <f>SUM(H8:H11)/'Income Statement'!G5</f>
        <v>0.36030167980802191</v>
      </c>
    </row>
    <row r="78" spans="2:14" x14ac:dyDescent="0.2">
      <c r="B78" s="10" t="s">
        <v>131</v>
      </c>
      <c r="C78" s="10"/>
      <c r="D78" s="23">
        <f>D35/'Income Statement'!C5</f>
        <v>0.28299837045084192</v>
      </c>
      <c r="E78" s="23">
        <f>E35/'Income Statement'!D5</f>
        <v>0.55833882663150958</v>
      </c>
      <c r="F78" s="23">
        <f>F35/'Income Statement'!E5</f>
        <v>0.30511763279165655</v>
      </c>
      <c r="G78" s="23">
        <f>G35/'Income Statement'!F5</f>
        <v>0.26162287034363269</v>
      </c>
      <c r="H78" s="23">
        <f>H35/'Income Statement'!G5</f>
        <v>0.31367843675008572</v>
      </c>
    </row>
    <row r="80" spans="2:14" x14ac:dyDescent="0.2">
      <c r="B80" s="90" t="s">
        <v>132</v>
      </c>
      <c r="C80" s="90"/>
      <c r="D80" s="91">
        <f>AVERAGE(D77:H77)</f>
        <v>0.34836232010254609</v>
      </c>
    </row>
    <row r="81" spans="2:15" x14ac:dyDescent="0.2">
      <c r="B81" s="90" t="s">
        <v>133</v>
      </c>
      <c r="C81" s="90"/>
      <c r="D81" s="91">
        <f>AVERAGE(D78:H78)</f>
        <v>0.34435122739354529</v>
      </c>
    </row>
    <row r="83" spans="2:15" x14ac:dyDescent="0.2">
      <c r="B83" s="10" t="s">
        <v>134</v>
      </c>
      <c r="C83" s="10"/>
      <c r="D83" s="10">
        <f>D29/'Income Statement'!C5</f>
        <v>0.2411732753938077</v>
      </c>
      <c r="E83" s="10">
        <f>E29/'Income Statement'!D5</f>
        <v>0.44034278180619646</v>
      </c>
      <c r="F83" s="10">
        <f>F29/'Income Statement'!E5</f>
        <v>0.1739024981809362</v>
      </c>
      <c r="G83" s="10">
        <f>G29/'Income Statement'!F5</f>
        <v>0.19145249783424775</v>
      </c>
      <c r="H83" s="10">
        <f>H29/'Income Statement'!G5</f>
        <v>0.26739801165581079</v>
      </c>
    </row>
    <row r="84" spans="2:15" x14ac:dyDescent="0.2">
      <c r="B84" s="10" t="s">
        <v>135</v>
      </c>
      <c r="C84" s="10"/>
      <c r="D84" s="10"/>
      <c r="E84" s="10"/>
      <c r="F84" s="10"/>
      <c r="G84" s="10"/>
      <c r="H84" s="10"/>
    </row>
    <row r="85" spans="2:15" x14ac:dyDescent="0.2">
      <c r="B85" s="95" t="s">
        <v>136</v>
      </c>
      <c r="C85" s="10"/>
      <c r="D85" s="94">
        <f>K87/'Income Statement'!C$5</f>
        <v>2.5529603476371537E-2</v>
      </c>
      <c r="E85" s="94">
        <f>L87/'Income Statement'!D$5</f>
        <v>3.1641397495056033E-2</v>
      </c>
      <c r="F85" s="94">
        <f>M87/'Income Statement'!E$5</f>
        <v>1.0671840892553965E-2</v>
      </c>
      <c r="G85" s="94">
        <f>N87/'Income Statement'!F$5</f>
        <v>0.10655501010684378</v>
      </c>
      <c r="H85" s="94">
        <f>O87/'Income Statement'!G$5</f>
        <v>0.12478573877271169</v>
      </c>
    </row>
    <row r="86" spans="2:15" x14ac:dyDescent="0.2">
      <c r="B86" s="95" t="s">
        <v>137</v>
      </c>
      <c r="C86" s="10"/>
      <c r="D86" s="94">
        <f>K88/'Income Statement'!C$5</f>
        <v>1.0863661053775121E-3</v>
      </c>
      <c r="E86" s="94">
        <f>L88/'Income Statement'!D$5</f>
        <v>2.6367831245880024E-3</v>
      </c>
      <c r="F86" s="94">
        <f>M88/'Income Statement'!E$5</f>
        <v>2.6679602231384912E-3</v>
      </c>
      <c r="G86" s="94">
        <f>N88/'Income Statement'!F$5</f>
        <v>8.6630089517759166E-3</v>
      </c>
      <c r="H86" s="94">
        <f>O88/'Income Statement'!G$5</f>
        <v>2.159753171066164E-2</v>
      </c>
      <c r="J86" s="100"/>
      <c r="K86" s="100">
        <v>2019</v>
      </c>
      <c r="L86" s="100">
        <v>2020</v>
      </c>
      <c r="M86" s="100">
        <v>2021</v>
      </c>
      <c r="N86" s="100">
        <v>2022</v>
      </c>
      <c r="O86" s="100">
        <v>2023</v>
      </c>
    </row>
    <row r="87" spans="2:15" x14ac:dyDescent="0.2">
      <c r="B87" s="95" t="s">
        <v>138</v>
      </c>
      <c r="C87" s="10"/>
      <c r="D87" s="94">
        <f>K89/'Income Statement'!C$5</f>
        <v>1.3036393264530146E-2</v>
      </c>
      <c r="E87" s="94">
        <f>L89/'Income Statement'!D$5</f>
        <v>1.7139090309822018E-2</v>
      </c>
      <c r="F87" s="94">
        <f>M89/'Income Statement'!E$5</f>
        <v>9.459131700218287E-3</v>
      </c>
      <c r="G87" s="94">
        <f>N89/'Income Statement'!F$5</f>
        <v>1.241697949754548E-2</v>
      </c>
      <c r="H87" s="94">
        <f>O89/'Income Statement'!G$5</f>
        <v>1.2684264655467946E-2</v>
      </c>
      <c r="J87" s="101" t="s">
        <v>139</v>
      </c>
      <c r="K87" s="111">
        <v>47</v>
      </c>
      <c r="L87" s="111">
        <v>48</v>
      </c>
      <c r="M87" s="111">
        <v>44</v>
      </c>
      <c r="N87" s="111">
        <v>369</v>
      </c>
      <c r="O87" s="111">
        <v>364</v>
      </c>
    </row>
    <row r="88" spans="2:15" x14ac:dyDescent="0.2">
      <c r="B88" s="95" t="s">
        <v>140</v>
      </c>
      <c r="C88" s="10"/>
      <c r="D88" s="94">
        <f>K90/'Income Statement'!C$5</f>
        <v>0</v>
      </c>
      <c r="E88" s="94">
        <f>L90/'Income Statement'!D$5</f>
        <v>2.6367831245880024E-3</v>
      </c>
      <c r="F88" s="94">
        <f>M90/'Income Statement'!E$5</f>
        <v>3.8806694154741692E-3</v>
      </c>
      <c r="G88" s="94">
        <f>N90/'Income Statement'!F$5</f>
        <v>5.1978053710655505E-3</v>
      </c>
      <c r="H88" s="94">
        <f>O90/'Income Statement'!G$5</f>
        <v>6.1707233459033254E-3</v>
      </c>
      <c r="J88" s="101" t="s">
        <v>141</v>
      </c>
      <c r="K88" s="100">
        <v>2</v>
      </c>
      <c r="L88" s="100">
        <v>4</v>
      </c>
      <c r="M88" s="100">
        <v>11</v>
      </c>
      <c r="N88" s="100">
        <v>30</v>
      </c>
      <c r="O88" s="100">
        <v>63</v>
      </c>
    </row>
    <row r="89" spans="2:15" x14ac:dyDescent="0.2">
      <c r="B89" s="95" t="s">
        <v>142</v>
      </c>
      <c r="C89" s="10"/>
      <c r="D89" s="94">
        <f>K91/'Income Statement'!C$5</f>
        <v>0</v>
      </c>
      <c r="E89" s="94">
        <f>L91/'Income Statement'!D$5</f>
        <v>4.6143704680290049E-3</v>
      </c>
      <c r="F89" s="94">
        <f>M91/'Income Statement'!E$5</f>
        <v>2.910502061605627E-3</v>
      </c>
      <c r="G89" s="94">
        <f>N91/'Income Statement'!F$5</f>
        <v>3.4652035807103665E-3</v>
      </c>
      <c r="H89" s="94">
        <f>O91/'Income Statement'!G$5</f>
        <v>4.11381556393555E-3</v>
      </c>
      <c r="J89" s="101" t="s">
        <v>143</v>
      </c>
      <c r="K89" s="100">
        <v>24</v>
      </c>
      <c r="L89" s="100">
        <v>26</v>
      </c>
      <c r="M89" s="100">
        <v>39</v>
      </c>
      <c r="N89" s="100">
        <v>43</v>
      </c>
      <c r="O89" s="100">
        <v>37</v>
      </c>
    </row>
    <row r="90" spans="2:15" x14ac:dyDescent="0.2">
      <c r="B90" s="95" t="s">
        <v>144</v>
      </c>
      <c r="C90" s="10"/>
      <c r="D90" s="94">
        <f>K92/'Income Statement'!C$5</f>
        <v>4.3454644215100485E-3</v>
      </c>
      <c r="E90" s="94">
        <f>L92/'Income Statement'!D$5</f>
        <v>5.2735662491760048E-3</v>
      </c>
      <c r="F90" s="94">
        <f>M92/'Income Statement'!E$5</f>
        <v>1.697792869269949E-3</v>
      </c>
      <c r="G90" s="94">
        <f>N92/'Income Statement'!F$5</f>
        <v>2.0213687554143807E-3</v>
      </c>
      <c r="H90" s="94">
        <f>O92/'Income Statement'!G$5</f>
        <v>2.3997257456290708E-3</v>
      </c>
      <c r="J90" s="101" t="s">
        <v>145</v>
      </c>
      <c r="K90" s="100">
        <v>0</v>
      </c>
      <c r="L90" s="100">
        <v>4</v>
      </c>
      <c r="M90" s="100">
        <v>16</v>
      </c>
      <c r="N90" s="100">
        <v>18</v>
      </c>
      <c r="O90" s="100">
        <v>18</v>
      </c>
    </row>
    <row r="91" spans="2:15" x14ac:dyDescent="0.2">
      <c r="B91" s="95" t="s">
        <v>146</v>
      </c>
      <c r="C91" s="10"/>
      <c r="D91" s="94">
        <f>K93/'Income Statement'!C$5</f>
        <v>5.4318305268875606E-4</v>
      </c>
      <c r="E91" s="94">
        <f>L93/'Income Statement'!D$5</f>
        <v>6.5919578114700061E-4</v>
      </c>
      <c r="F91" s="94">
        <f>M93/'Income Statement'!E$5</f>
        <v>2.4254183846713557E-4</v>
      </c>
      <c r="G91" s="94">
        <f>N93/'Income Statement'!F$5</f>
        <v>2.8876696505919725E-4</v>
      </c>
      <c r="H91" s="94">
        <f>O93/'Income Statement'!G$5</f>
        <v>3.4281796366129587E-4</v>
      </c>
      <c r="J91" s="101" t="s">
        <v>147</v>
      </c>
      <c r="K91" s="100">
        <v>0</v>
      </c>
      <c r="L91" s="100">
        <v>7</v>
      </c>
      <c r="M91" s="100">
        <v>12</v>
      </c>
      <c r="N91" s="100">
        <v>12</v>
      </c>
      <c r="O91" s="100">
        <v>12</v>
      </c>
    </row>
    <row r="92" spans="2:15" x14ac:dyDescent="0.2">
      <c r="B92" s="95" t="s">
        <v>148</v>
      </c>
      <c r="C92" s="10"/>
      <c r="D92" s="94">
        <f>K94/'Income Statement'!C$5</f>
        <v>0</v>
      </c>
      <c r="E92" s="94">
        <f>L94/'Income Statement'!D$5</f>
        <v>2.6367831245880024E-3</v>
      </c>
      <c r="F92" s="94">
        <f>M94/'Income Statement'!E$5</f>
        <v>4.8508367693427115E-4</v>
      </c>
      <c r="G92" s="94">
        <f>N94/'Income Statement'!F$5</f>
        <v>2.0213687554143807E-3</v>
      </c>
      <c r="H92" s="94">
        <f>O94/'Income Statement'!G$5</f>
        <v>0</v>
      </c>
      <c r="J92" s="101" t="s">
        <v>149</v>
      </c>
      <c r="K92" s="100">
        <v>8</v>
      </c>
      <c r="L92" s="100">
        <v>8</v>
      </c>
      <c r="M92" s="100">
        <v>7</v>
      </c>
      <c r="N92" s="100">
        <v>7</v>
      </c>
      <c r="O92" s="100">
        <v>7</v>
      </c>
    </row>
    <row r="93" spans="2:15" x14ac:dyDescent="0.2">
      <c r="B93" s="95" t="s">
        <v>150</v>
      </c>
      <c r="C93" s="10"/>
      <c r="D93" s="94">
        <f>K95/'Income Statement'!C$5</f>
        <v>0</v>
      </c>
      <c r="E93" s="94">
        <f>L95/'Income Statement'!D$5</f>
        <v>6.5919578114700061E-4</v>
      </c>
      <c r="F93" s="94">
        <f>M95/'Income Statement'!E$5</f>
        <v>2.4254183846713557E-4</v>
      </c>
      <c r="G93" s="94">
        <f>N95/'Income Statement'!F$5</f>
        <v>0</v>
      </c>
      <c r="H93" s="94">
        <f>O95/'Income Statement'!G$5</f>
        <v>0</v>
      </c>
      <c r="J93" s="101" t="s">
        <v>151</v>
      </c>
      <c r="K93" s="111">
        <v>1</v>
      </c>
      <c r="L93" s="111">
        <v>1</v>
      </c>
      <c r="M93" s="111">
        <v>1</v>
      </c>
      <c r="N93" s="111">
        <v>1</v>
      </c>
      <c r="O93" s="111">
        <v>1</v>
      </c>
    </row>
    <row r="94" spans="2:15" x14ac:dyDescent="0.2">
      <c r="B94" s="10" t="s">
        <v>152</v>
      </c>
      <c r="C94" s="10"/>
      <c r="D94" s="96">
        <f>D31/'Income Statement'!C5</f>
        <v>1.8468223791417708E-2</v>
      </c>
      <c r="E94" s="96">
        <f>E31/'Income Statement'!D5</f>
        <v>2.9004614370468029E-2</v>
      </c>
      <c r="F94" s="96">
        <f>F31/'Income Statement'!E5</f>
        <v>1.5037593984962405E-2</v>
      </c>
      <c r="G94" s="96">
        <f>G31/'Income Statement'!F5</f>
        <v>2.3967658099913369E-2</v>
      </c>
      <c r="H94" s="96">
        <f>H31/'Income Statement'!G5</f>
        <v>2.5025711347274597E-2</v>
      </c>
      <c r="J94" s="101" t="s">
        <v>153</v>
      </c>
      <c r="K94" s="100">
        <v>0</v>
      </c>
      <c r="L94" s="100">
        <v>4</v>
      </c>
      <c r="M94" s="100">
        <v>2</v>
      </c>
      <c r="N94" s="100">
        <v>7</v>
      </c>
      <c r="O94" s="100">
        <v>0</v>
      </c>
    </row>
    <row r="95" spans="2:15" x14ac:dyDescent="0.2">
      <c r="B95" s="10" t="s">
        <v>154</v>
      </c>
      <c r="C95" s="10"/>
      <c r="D95" s="96"/>
      <c r="E95" s="96">
        <f>(E31-D31)/D31</f>
        <v>0.29411764705882354</v>
      </c>
      <c r="F95" s="96">
        <f>(F31-E31)/E31</f>
        <v>0.40909090909090912</v>
      </c>
      <c r="G95" s="96">
        <f>(G31-F31)/F31</f>
        <v>0.33870967741935482</v>
      </c>
      <c r="H95" s="96">
        <f>(H31-G31)/G31</f>
        <v>-0.12048192771084337</v>
      </c>
      <c r="J95" s="101" t="s">
        <v>155</v>
      </c>
      <c r="K95" s="100">
        <v>0</v>
      </c>
      <c r="L95" s="100">
        <v>1</v>
      </c>
      <c r="M95" s="100">
        <v>1</v>
      </c>
      <c r="N95" s="100">
        <v>0</v>
      </c>
      <c r="O95" s="100">
        <v>0</v>
      </c>
    </row>
    <row r="96" spans="2:15" x14ac:dyDescent="0.2">
      <c r="B96" s="10" t="s">
        <v>156</v>
      </c>
      <c r="C96" s="10"/>
      <c r="D96" s="96">
        <f>D40/'Income Statement'!C5</f>
        <v>2.6072786529060293E-2</v>
      </c>
      <c r="E96" s="96">
        <f>E40/'Income Statement'!D5</f>
        <v>3.889255108767304E-2</v>
      </c>
      <c r="F96" s="96">
        <f>F40/'Income Statement'!E5</f>
        <v>1.7220470531166626E-2</v>
      </c>
      <c r="G96" s="96">
        <f>G40/'Income Statement'!F5</f>
        <v>0.11666185388391569</v>
      </c>
      <c r="H96" s="96">
        <f>H40/'Income Statement'!G5</f>
        <v>0.14706890641069592</v>
      </c>
    </row>
    <row r="97" spans="2:8" x14ac:dyDescent="0.2">
      <c r="B97" s="10" t="s">
        <v>157</v>
      </c>
      <c r="C97" s="10"/>
      <c r="D97" s="96"/>
      <c r="E97" s="96">
        <f>(E40-D40)/D40</f>
        <v>0.22916666666666666</v>
      </c>
      <c r="F97" s="96">
        <f>(F40-E40)/E40</f>
        <v>0.20338983050847459</v>
      </c>
      <c r="G97" s="96">
        <f>(G40-F40)/F40</f>
        <v>4.6901408450704229</v>
      </c>
      <c r="H97" s="96">
        <f>(H40-G40)/G40</f>
        <v>6.1881188118811881E-2</v>
      </c>
    </row>
    <row r="98" spans="2:8" x14ac:dyDescent="0.2">
      <c r="B98" s="10" t="s">
        <v>158</v>
      </c>
      <c r="C98" s="10"/>
      <c r="D98" s="96">
        <f>D32/'Income Statement'!C5</f>
        <v>4.3454644215100485E-3</v>
      </c>
      <c r="E98" s="96">
        <f>E32/'Income Statement'!D5</f>
        <v>9.8879367172050106E-3</v>
      </c>
      <c r="F98" s="96">
        <f>F32/'Income Statement'!E5</f>
        <v>3.6381275770070338E-3</v>
      </c>
      <c r="G98" s="96">
        <f>G32/'Income Statement'!F5</f>
        <v>4.3315044758879583E-3</v>
      </c>
      <c r="H98" s="96">
        <f>H32/'Income Statement'!G5</f>
        <v>5.1422694549194377E-3</v>
      </c>
    </row>
    <row r="99" spans="2:8" x14ac:dyDescent="0.2">
      <c r="B99" s="10" t="s">
        <v>159</v>
      </c>
      <c r="C99" s="10"/>
      <c r="D99" s="96">
        <f>D33/'Income Statement'!C5</f>
        <v>0</v>
      </c>
      <c r="E99" s="96">
        <f>E33/'Income Statement'!D5</f>
        <v>0</v>
      </c>
      <c r="F99" s="96">
        <f>F33/'Income Statement'!E5</f>
        <v>6.1120543293718167E-2</v>
      </c>
      <c r="G99" s="96">
        <f>G33/'Income Statement'!F5</f>
        <v>5.775339301183945E-4</v>
      </c>
      <c r="H99" s="96">
        <f>H33/'Income Statement'!G5</f>
        <v>6.8563592732259174E-4</v>
      </c>
    </row>
    <row r="100" spans="2:8" ht="34" x14ac:dyDescent="0.2">
      <c r="B100" s="97" t="s">
        <v>160</v>
      </c>
      <c r="C100" s="10"/>
      <c r="D100" s="96">
        <f>D34/'Income Statement'!C5</f>
        <v>1.9011406844106463E-2</v>
      </c>
      <c r="E100" s="96">
        <f>E34/'Income Statement'!D5</f>
        <v>2.3731048121292023E-2</v>
      </c>
      <c r="F100" s="96">
        <f>F34/'Income Statement'!E5</f>
        <v>5.1418869755032744E-2</v>
      </c>
      <c r="G100" s="96">
        <f>G34/'Income Statement'!F5</f>
        <v>4.1293676003465202E-2</v>
      </c>
      <c r="H100" s="96">
        <f>H34/'Income Statement'!G5</f>
        <v>1.5426808364758314E-2</v>
      </c>
    </row>
    <row r="101" spans="2:8" ht="34" x14ac:dyDescent="0.2">
      <c r="B101" s="97" t="s">
        <v>161</v>
      </c>
      <c r="C101" s="10"/>
      <c r="D101" s="94">
        <f>D43/'Income Statement'!C5</f>
        <v>0.25638240086909286</v>
      </c>
      <c r="E101" s="94">
        <f>E43/'Income Statement'!D5</f>
        <v>0.30454845088991428</v>
      </c>
      <c r="F101" s="94">
        <f>F43/'Income Statement'!E5</f>
        <v>9.2893524132912922E-2</v>
      </c>
      <c r="G101" s="94">
        <f>G43/'Income Statement'!F5</f>
        <v>9.096159399364713E-2</v>
      </c>
      <c r="H101" s="94">
        <f>H43/'Income Statement'!G5</f>
        <v>0.10215975317106617</v>
      </c>
    </row>
    <row r="103" spans="2:8" x14ac:dyDescent="0.2">
      <c r="B103" s="171" t="s">
        <v>162</v>
      </c>
      <c r="C103" s="171"/>
      <c r="D103" s="171"/>
      <c r="E103" s="171"/>
      <c r="F103" s="171"/>
      <c r="G103" s="171"/>
      <c r="H103" s="1"/>
    </row>
    <row r="104" spans="2:8" x14ac:dyDescent="0.2">
      <c r="B104" s="79" t="s">
        <v>3</v>
      </c>
      <c r="C104" s="80" t="str">
        <f>'Income Statement'!H4</f>
        <v>2024 E</v>
      </c>
      <c r="D104" s="80" t="str">
        <f>'Income Statement'!I4</f>
        <v>2025 E</v>
      </c>
      <c r="E104" s="80" t="str">
        <f>'Income Statement'!J4</f>
        <v>2026 E</v>
      </c>
      <c r="F104" s="80" t="str">
        <f>'Income Statement'!K4</f>
        <v>2027 E</v>
      </c>
      <c r="G104" s="80" t="str">
        <f>'Income Statement'!L4</f>
        <v>2028 E</v>
      </c>
      <c r="H104" s="1"/>
    </row>
    <row r="105" spans="2:8" x14ac:dyDescent="0.2">
      <c r="B105" s="2" t="s">
        <v>163</v>
      </c>
      <c r="C105" s="2">
        <f ca="1">SUM('Balance Sheet'!I8:I11)-SUM('Balance Sheet'!H8:H11)</f>
        <v>-136.44440103478564</v>
      </c>
      <c r="D105" s="2">
        <f ca="1">SUM('Balance Sheet'!J8:J11)-SUM('Balance Sheet'!I8:I11)</f>
        <v>45.727779948260945</v>
      </c>
      <c r="E105" s="2">
        <f ca="1">SUM('Balance Sheet'!K8:K11)-SUM('Balance Sheet'!J8:J11)</f>
        <v>91.226920996779995</v>
      </c>
      <c r="F105" s="2">
        <f ca="1">SUM('Balance Sheet'!L8:L11)-SUM('Balance Sheet'!K8:K11)</f>
        <v>105.15102999102555</v>
      </c>
      <c r="G105" s="2">
        <f ca="1">SUM('Balance Sheet'!M8:M11)-SUM('Balance Sheet'!L8:L11)</f>
        <v>92.532906392102404</v>
      </c>
      <c r="H105" s="1"/>
    </row>
    <row r="106" spans="2:8" x14ac:dyDescent="0.2">
      <c r="B106" s="2" t="s">
        <v>164</v>
      </c>
      <c r="C106" s="2">
        <f ca="1">'Balance Sheet'!I35-'Balance Sheet'!H35</f>
        <v>-215.31212394893873</v>
      </c>
      <c r="D106" s="2">
        <f ca="1">'Balance Sheet'!J35-'Balance Sheet'!I35</f>
        <v>34.2343938025532</v>
      </c>
      <c r="E106" s="2">
        <f ca="1">'Balance Sheet'!K35-'Balance Sheet'!J35</f>
        <v>77.297615636093269</v>
      </c>
      <c r="F106" s="2">
        <f ca="1">'Balance Sheet'!L35-'Balance Sheet'!K35</f>
        <v>54.721988548970671</v>
      </c>
      <c r="G106" s="2">
        <f ca="1">'Balance Sheet'!M35-'Balance Sheet'!L35</f>
        <v>69.275349923094382</v>
      </c>
      <c r="H106" s="1"/>
    </row>
    <row r="107" spans="2:8" ht="17" thickBot="1" x14ac:dyDescent="0.25">
      <c r="B107" s="8" t="s">
        <v>15</v>
      </c>
      <c r="C107" s="8">
        <f ca="1">C105-C106</f>
        <v>78.867722914153092</v>
      </c>
      <c r="D107" s="8">
        <f t="shared" ref="D107:G107" ca="1" si="26">D105-D106</f>
        <v>11.493386145707746</v>
      </c>
      <c r="E107" s="8">
        <f t="shared" ca="1" si="26"/>
        <v>13.929305360686726</v>
      </c>
      <c r="F107" s="8">
        <f t="shared" ca="1" si="26"/>
        <v>50.429041442054881</v>
      </c>
      <c r="G107" s="8">
        <f t="shared" ca="1" si="26"/>
        <v>23.257556469008023</v>
      </c>
      <c r="H107" s="1"/>
    </row>
    <row r="109" spans="2:8" x14ac:dyDescent="0.2">
      <c r="B109" s="136" t="s">
        <v>165</v>
      </c>
      <c r="C109" s="137" t="s">
        <v>72</v>
      </c>
      <c r="D109" s="137" t="s">
        <v>72</v>
      </c>
      <c r="E109" s="137" t="s">
        <v>72</v>
      </c>
      <c r="F109" s="137" t="s">
        <v>72</v>
      </c>
      <c r="G109" s="137" t="s">
        <v>72</v>
      </c>
      <c r="H109" s="137" t="s">
        <v>72</v>
      </c>
    </row>
    <row r="110" spans="2:8" x14ac:dyDescent="0.2">
      <c r="B110" s="137" t="s">
        <v>166</v>
      </c>
      <c r="C110" s="137" t="s">
        <v>72</v>
      </c>
      <c r="D110" s="137">
        <f>D8/'Income Statement'!C5</f>
        <v>4.3454644215100485E-3</v>
      </c>
      <c r="E110" s="137">
        <f>E8/'Income Statement'!D5</f>
        <v>5.2735662491760048E-3</v>
      </c>
      <c r="F110" s="137">
        <f>F8/'Income Statement'!E5</f>
        <v>4.8508367693427118E-3</v>
      </c>
      <c r="G110" s="137">
        <f>G8/'Income Statement'!F5</f>
        <v>2.5989026855327752E-3</v>
      </c>
      <c r="H110" s="137">
        <f>H8/'Income Statement'!G5</f>
        <v>3.4281796366129585E-3</v>
      </c>
    </row>
    <row r="111" spans="2:8" x14ac:dyDescent="0.2">
      <c r="B111" s="138" t="s">
        <v>167</v>
      </c>
      <c r="C111" s="137" t="s">
        <v>72</v>
      </c>
      <c r="D111" s="137">
        <f>D9/'Income Statement'!C5</f>
        <v>8.582292232482347E-2</v>
      </c>
      <c r="E111" s="137">
        <f>E9/'Income Statement'!D5</f>
        <v>0.12063282794990111</v>
      </c>
      <c r="F111" s="137">
        <f>F9/'Income Statement'!E5</f>
        <v>9.9927237448459855E-2</v>
      </c>
      <c r="G111" s="137">
        <f>G9/'Income Statement'!F5</f>
        <v>4.2448743863701996E-2</v>
      </c>
      <c r="H111" s="137">
        <f>H9/'Income Statement'!G5</f>
        <v>6.3421323277339736E-2</v>
      </c>
    </row>
    <row r="112" spans="2:8" x14ac:dyDescent="0.2">
      <c r="B112" s="139" t="s">
        <v>168</v>
      </c>
      <c r="C112" s="137" t="s">
        <v>72</v>
      </c>
      <c r="D112" s="137">
        <f>D10/'Income Statement'!C5</f>
        <v>0.26235741444866922</v>
      </c>
      <c r="E112" s="137">
        <f>E10/'Income Statement'!D5</f>
        <v>0.33553065260382331</v>
      </c>
      <c r="F112" s="137">
        <f>F10/'Income Statement'!E5</f>
        <v>0.14964831433422265</v>
      </c>
      <c r="G112" s="137">
        <f>G10/'Income Statement'!F5</f>
        <v>0.22783713543170661</v>
      </c>
      <c r="H112" s="137">
        <f>H10/'Income Statement'!G5</f>
        <v>0.28522454576619816</v>
      </c>
    </row>
    <row r="113" spans="2:8" x14ac:dyDescent="0.2">
      <c r="B113" s="137" t="s">
        <v>169</v>
      </c>
      <c r="C113" s="137" t="s">
        <v>72</v>
      </c>
      <c r="D113" s="137">
        <f>D11/'Income Statement'!C5</f>
        <v>4.3454644215100485E-3</v>
      </c>
      <c r="E113" s="137">
        <f>E11/'Income Statement'!D5</f>
        <v>2.1094264996704019E-2</v>
      </c>
      <c r="F113" s="137">
        <f>F11/'Income Statement'!E5</f>
        <v>2.6679602231384912E-3</v>
      </c>
      <c r="G113" s="137">
        <f>G11/'Income Statement'!F5</f>
        <v>1.2128212532486284E-2</v>
      </c>
      <c r="H113" s="137">
        <f>H11/'Income Statement'!G5</f>
        <v>8.2276311278711E-3</v>
      </c>
    </row>
  </sheetData>
  <mergeCells count="2">
    <mergeCell ref="B3:M3"/>
    <mergeCell ref="B103:G103"/>
  </mergeCells>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FA14C-BC4E-B047-8613-150357598BF4}">
  <sheetPr>
    <tabColor theme="0" tint="-0.499984740745262"/>
  </sheetPr>
  <dimension ref="B2:M43"/>
  <sheetViews>
    <sheetView zoomScale="94" workbookViewId="0"/>
  </sheetViews>
  <sheetFormatPr baseColWidth="10" defaultColWidth="10.83203125" defaultRowHeight="16" x14ac:dyDescent="0.2"/>
  <cols>
    <col min="1" max="1" width="3" style="2" customWidth="1"/>
    <col min="2" max="2" width="33" style="2" bestFit="1" customWidth="1"/>
    <col min="3" max="3" width="10.83203125" style="2"/>
    <col min="4" max="4" width="12" style="2" bestFit="1" customWidth="1"/>
    <col min="5" max="16384" width="10.83203125" style="2"/>
  </cols>
  <sheetData>
    <row r="2" spans="2:13" x14ac:dyDescent="0.2">
      <c r="B2" s="171" t="s">
        <v>170</v>
      </c>
      <c r="C2" s="171"/>
      <c r="D2" s="171"/>
      <c r="E2" s="171"/>
      <c r="F2" s="171"/>
      <c r="G2" s="171"/>
      <c r="H2" s="89"/>
      <c r="I2" s="89"/>
      <c r="J2" s="89"/>
      <c r="K2" s="89"/>
      <c r="L2" s="89"/>
      <c r="M2" s="89"/>
    </row>
    <row r="3" spans="2:13" x14ac:dyDescent="0.2">
      <c r="B3" s="79" t="s">
        <v>3</v>
      </c>
      <c r="C3" s="57">
        <v>2019</v>
      </c>
      <c r="D3" s="57">
        <v>2020</v>
      </c>
      <c r="E3" s="57">
        <v>2021</v>
      </c>
      <c r="F3" s="57">
        <v>2022</v>
      </c>
      <c r="G3" s="57">
        <v>2023</v>
      </c>
      <c r="H3" s="1"/>
      <c r="I3" s="1"/>
      <c r="J3" s="1"/>
      <c r="K3" s="1"/>
      <c r="L3" s="1"/>
      <c r="M3" s="1"/>
    </row>
    <row r="4" spans="2:13" x14ac:dyDescent="0.2">
      <c r="B4" s="2" t="s">
        <v>171</v>
      </c>
      <c r="C4" s="2">
        <v>448</v>
      </c>
      <c r="D4" s="2">
        <v>670</v>
      </c>
      <c r="E4" s="2">
        <v>845</v>
      </c>
      <c r="F4" s="2">
        <v>1008</v>
      </c>
      <c r="G4" s="2">
        <v>1199</v>
      </c>
      <c r="H4" s="1"/>
      <c r="I4" s="1"/>
      <c r="J4" s="1"/>
      <c r="K4" s="1"/>
      <c r="L4" s="1"/>
      <c r="M4" s="1"/>
    </row>
    <row r="5" spans="2:13" x14ac:dyDescent="0.2">
      <c r="B5" s="2" t="s">
        <v>172</v>
      </c>
      <c r="C5" s="2">
        <v>255</v>
      </c>
      <c r="D5" s="2">
        <v>255</v>
      </c>
      <c r="E5" s="2">
        <v>251</v>
      </c>
      <c r="F5" s="2">
        <v>377</v>
      </c>
      <c r="G5" s="2">
        <v>203</v>
      </c>
      <c r="H5" s="1"/>
      <c r="I5" s="1"/>
      <c r="J5" s="1"/>
      <c r="K5" s="1"/>
      <c r="L5" s="1"/>
      <c r="M5" s="1"/>
    </row>
    <row r="6" spans="2:13" x14ac:dyDescent="0.2">
      <c r="B6" s="2" t="s">
        <v>173</v>
      </c>
      <c r="C6" s="2">
        <v>-6</v>
      </c>
      <c r="D6" s="2">
        <v>-34</v>
      </c>
      <c r="E6" s="2">
        <v>-4</v>
      </c>
      <c r="F6" s="2">
        <v>-106</v>
      </c>
      <c r="G6" s="2">
        <v>-18</v>
      </c>
      <c r="H6" s="130"/>
      <c r="I6" s="1"/>
      <c r="J6" s="1"/>
      <c r="K6" s="1"/>
      <c r="L6" s="1"/>
      <c r="M6" s="1"/>
    </row>
    <row r="7" spans="2:13" x14ac:dyDescent="0.2">
      <c r="B7" s="2" t="s">
        <v>174</v>
      </c>
      <c r="C7" s="2">
        <v>0</v>
      </c>
      <c r="D7" s="2">
        <v>-8</v>
      </c>
      <c r="E7" s="2">
        <v>-18</v>
      </c>
      <c r="F7" s="2">
        <v>-2</v>
      </c>
      <c r="G7" s="2">
        <v>0</v>
      </c>
      <c r="H7" s="1"/>
      <c r="I7" s="1"/>
      <c r="J7" s="1"/>
      <c r="K7" s="1"/>
      <c r="L7" s="1"/>
      <c r="M7" s="1"/>
    </row>
    <row r="8" spans="2:13" x14ac:dyDescent="0.2">
      <c r="B8" s="2" t="s">
        <v>175</v>
      </c>
      <c r="C8" s="2">
        <f>-51+4</f>
        <v>-47</v>
      </c>
      <c r="D8" s="2">
        <f>-66+28</f>
        <v>-38</v>
      </c>
      <c r="E8" s="2">
        <f>-69+3</f>
        <v>-66</v>
      </c>
      <c r="F8" s="2">
        <f>-90+12</f>
        <v>-78</v>
      </c>
      <c r="G8" s="2">
        <f>-124+3</f>
        <v>-121</v>
      </c>
      <c r="H8" s="130"/>
      <c r="I8" s="1"/>
      <c r="J8" s="1"/>
      <c r="K8" s="1"/>
      <c r="L8" s="1"/>
      <c r="M8" s="1"/>
    </row>
    <row r="9" spans="2:13" x14ac:dyDescent="0.2">
      <c r="B9" s="8" t="s">
        <v>176</v>
      </c>
      <c r="C9" s="8">
        <f>SUM(C4:C8)+9+11</f>
        <v>670</v>
      </c>
      <c r="D9" s="8">
        <f>SUM(D4:D8)</f>
        <v>845</v>
      </c>
      <c r="E9" s="8">
        <f>SUM(E4:E8)</f>
        <v>1008</v>
      </c>
      <c r="F9" s="8">
        <f>SUM(F4:F8)</f>
        <v>1199</v>
      </c>
      <c r="G9" s="8">
        <f>SUM(G4:G8)</f>
        <v>1263</v>
      </c>
      <c r="H9" s="130"/>
      <c r="I9" s="1"/>
      <c r="J9" s="1"/>
      <c r="K9" s="1"/>
      <c r="L9" s="1"/>
      <c r="M9" s="1"/>
    </row>
    <row r="11" spans="2:13" x14ac:dyDescent="0.2">
      <c r="B11" s="12"/>
    </row>
    <row r="12" spans="2:13" x14ac:dyDescent="0.2">
      <c r="B12" s="79" t="s">
        <v>177</v>
      </c>
      <c r="C12" s="57">
        <v>2019</v>
      </c>
      <c r="D12" s="57">
        <v>2020</v>
      </c>
      <c r="E12" s="57">
        <v>2021</v>
      </c>
      <c r="F12" s="57">
        <v>2022</v>
      </c>
      <c r="G12" s="57">
        <v>2023</v>
      </c>
      <c r="H12" s="1"/>
      <c r="I12" s="1"/>
      <c r="J12" s="1"/>
      <c r="K12" s="1"/>
      <c r="L12" s="1"/>
      <c r="M12" s="1"/>
    </row>
    <row r="13" spans="2:13" x14ac:dyDescent="0.2">
      <c r="B13" s="2" t="s">
        <v>82</v>
      </c>
      <c r="C13" s="1">
        <v>110</v>
      </c>
      <c r="D13" s="1">
        <v>111</v>
      </c>
      <c r="E13" s="1">
        <v>111</v>
      </c>
      <c r="F13" s="1">
        <v>50</v>
      </c>
      <c r="G13" s="1">
        <v>50</v>
      </c>
      <c r="H13" s="1"/>
      <c r="I13" s="1"/>
      <c r="J13" s="1"/>
      <c r="K13" s="1"/>
      <c r="L13" s="1"/>
      <c r="M13" s="1"/>
    </row>
    <row r="14" spans="2:13" x14ac:dyDescent="0.2">
      <c r="B14" s="2" t="s">
        <v>178</v>
      </c>
      <c r="C14" s="1">
        <v>41</v>
      </c>
      <c r="D14" s="1">
        <v>43</v>
      </c>
      <c r="E14" s="1">
        <v>50</v>
      </c>
      <c r="F14" s="1">
        <v>49</v>
      </c>
      <c r="G14" s="1">
        <v>58</v>
      </c>
      <c r="H14" s="1"/>
      <c r="I14" s="1"/>
      <c r="J14" s="1"/>
      <c r="K14" s="1"/>
      <c r="L14" s="1"/>
      <c r="M14" s="1"/>
    </row>
    <row r="15" spans="2:13" x14ac:dyDescent="0.2">
      <c r="B15" s="2" t="s">
        <v>179</v>
      </c>
      <c r="C15" s="1">
        <v>427</v>
      </c>
      <c r="D15" s="1">
        <v>558</v>
      </c>
      <c r="E15" s="1">
        <v>680</v>
      </c>
      <c r="F15" s="1">
        <v>1033</v>
      </c>
      <c r="G15" s="1">
        <v>1199</v>
      </c>
      <c r="H15" s="1"/>
      <c r="I15" s="1"/>
      <c r="J15" s="1"/>
      <c r="K15" s="1"/>
      <c r="L15" s="1"/>
      <c r="M15" s="1"/>
    </row>
    <row r="16" spans="2:13" x14ac:dyDescent="0.2">
      <c r="B16" s="2" t="s">
        <v>180</v>
      </c>
      <c r="C16" s="1">
        <v>9</v>
      </c>
      <c r="D16" s="1">
        <v>10</v>
      </c>
      <c r="E16" s="1">
        <v>15</v>
      </c>
      <c r="F16" s="1">
        <v>26</v>
      </c>
      <c r="G16" s="1">
        <v>36</v>
      </c>
      <c r="H16" s="1"/>
      <c r="I16" s="1"/>
      <c r="J16" s="1"/>
      <c r="K16" s="1"/>
      <c r="L16" s="1"/>
      <c r="M16" s="1"/>
    </row>
    <row r="17" spans="2:13" x14ac:dyDescent="0.2">
      <c r="B17" s="2" t="s">
        <v>181</v>
      </c>
      <c r="C17" s="1">
        <v>54</v>
      </c>
      <c r="D17" s="1">
        <v>63</v>
      </c>
      <c r="E17" s="1">
        <v>65</v>
      </c>
      <c r="F17" s="1">
        <v>239</v>
      </c>
      <c r="G17" s="1">
        <v>238</v>
      </c>
      <c r="H17" s="1"/>
      <c r="I17" s="1"/>
      <c r="J17" s="1"/>
      <c r="K17" s="1"/>
      <c r="L17" s="1"/>
      <c r="M17" s="1"/>
    </row>
    <row r="18" spans="2:13" x14ac:dyDescent="0.2">
      <c r="B18" s="2" t="s">
        <v>83</v>
      </c>
      <c r="C18" s="1">
        <v>122</v>
      </c>
      <c r="D18" s="1">
        <v>191</v>
      </c>
      <c r="E18" s="1">
        <v>284</v>
      </c>
      <c r="F18" s="1">
        <v>77</v>
      </c>
      <c r="G18" s="1">
        <v>78</v>
      </c>
      <c r="H18" s="1"/>
      <c r="I18" s="1"/>
      <c r="J18" s="1"/>
      <c r="K18" s="1"/>
      <c r="L18" s="1"/>
      <c r="M18" s="1"/>
    </row>
    <row r="19" spans="2:13" ht="17" thickBot="1" x14ac:dyDescent="0.25">
      <c r="B19" s="8" t="s">
        <v>182</v>
      </c>
      <c r="C19" s="81">
        <f>SUM(C13:C18)</f>
        <v>763</v>
      </c>
      <c r="D19" s="81">
        <f t="shared" ref="D19:G19" si="0">SUM(D13:D18)</f>
        <v>976</v>
      </c>
      <c r="E19" s="81">
        <f t="shared" si="0"/>
        <v>1205</v>
      </c>
      <c r="F19" s="81">
        <f t="shared" si="0"/>
        <v>1474</v>
      </c>
      <c r="G19" s="81">
        <f t="shared" si="0"/>
        <v>1659</v>
      </c>
      <c r="H19" s="1"/>
      <c r="I19" s="1"/>
      <c r="J19" s="1"/>
      <c r="K19" s="1"/>
      <c r="L19" s="1"/>
      <c r="M19" s="1"/>
    </row>
    <row r="20" spans="2:13" x14ac:dyDescent="0.2">
      <c r="C20" s="1"/>
      <c r="D20" s="1"/>
      <c r="E20" s="1"/>
      <c r="F20" s="1"/>
      <c r="G20" s="1"/>
      <c r="H20" s="25"/>
      <c r="I20" s="25"/>
      <c r="J20" s="25"/>
      <c r="K20" s="25"/>
      <c r="L20" s="25"/>
      <c r="M20" s="25"/>
    </row>
    <row r="21" spans="2:13" x14ac:dyDescent="0.2">
      <c r="B21" s="2" t="s">
        <v>183</v>
      </c>
      <c r="C21" s="2">
        <f>-46+C8</f>
        <v>-93</v>
      </c>
      <c r="D21" s="2">
        <f>C21+D8</f>
        <v>-131</v>
      </c>
      <c r="E21" s="2">
        <f>D21+E8</f>
        <v>-197</v>
      </c>
      <c r="F21" s="2">
        <f>E21+F8</f>
        <v>-275</v>
      </c>
      <c r="G21" s="2">
        <f>F21+G8</f>
        <v>-396</v>
      </c>
      <c r="H21" s="132"/>
    </row>
    <row r="22" spans="2:13" x14ac:dyDescent="0.2">
      <c r="B22" s="2" t="s">
        <v>184</v>
      </c>
      <c r="C22" s="2">
        <f>C19+C21</f>
        <v>670</v>
      </c>
      <c r="D22" s="2">
        <f t="shared" ref="D22:G22" si="1">D19+D21</f>
        <v>845</v>
      </c>
      <c r="E22" s="2">
        <f t="shared" si="1"/>
        <v>1008</v>
      </c>
      <c r="F22" s="2">
        <f t="shared" si="1"/>
        <v>1199</v>
      </c>
      <c r="G22" s="2">
        <f t="shared" si="1"/>
        <v>1263</v>
      </c>
    </row>
    <row r="23" spans="2:13" x14ac:dyDescent="0.2">
      <c r="B23" s="2" t="s">
        <v>9</v>
      </c>
      <c r="C23" s="2">
        <f>'Income Statement'!C5</f>
        <v>1841</v>
      </c>
      <c r="D23" s="2">
        <f>'Income Statement'!D5</f>
        <v>1517</v>
      </c>
      <c r="E23" s="2">
        <f>'Income Statement'!E5</f>
        <v>4123</v>
      </c>
      <c r="F23" s="2">
        <f>'Income Statement'!F5</f>
        <v>3463</v>
      </c>
      <c r="G23" s="2">
        <f>'Income Statement'!G5</f>
        <v>2917</v>
      </c>
    </row>
    <row r="24" spans="2:13" x14ac:dyDescent="0.2">
      <c r="B24" s="84" t="s">
        <v>185</v>
      </c>
      <c r="C24" s="85">
        <f>C22/C23</f>
        <v>0.36393264530146657</v>
      </c>
      <c r="D24" s="85">
        <f t="shared" ref="D24:G24" si="2">D22/D23</f>
        <v>0.5570204350692155</v>
      </c>
      <c r="E24" s="85">
        <f t="shared" si="2"/>
        <v>0.24448217317487267</v>
      </c>
      <c r="F24" s="85">
        <f t="shared" si="2"/>
        <v>0.34623159110597745</v>
      </c>
      <c r="G24" s="85">
        <f t="shared" si="2"/>
        <v>0.43297908810421665</v>
      </c>
      <c r="H24" s="61"/>
      <c r="I24" s="26"/>
      <c r="J24" s="26"/>
      <c r="K24" s="26"/>
      <c r="L24" s="26"/>
      <c r="M24" s="26"/>
    </row>
    <row r="25" spans="2:13" x14ac:dyDescent="0.2">
      <c r="B25" s="84" t="s">
        <v>186</v>
      </c>
      <c r="C25" s="85">
        <f>AVERAGE(C24,E24:G24)</f>
        <v>0.34690637442163336</v>
      </c>
      <c r="D25" s="86"/>
      <c r="E25" s="86"/>
      <c r="F25" s="86"/>
      <c r="G25" s="86"/>
    </row>
    <row r="26" spans="2:13" x14ac:dyDescent="0.2">
      <c r="B26" s="12"/>
      <c r="C26" s="82"/>
      <c r="D26" s="82"/>
      <c r="E26" s="82"/>
      <c r="F26" s="82"/>
      <c r="G26" s="82"/>
    </row>
    <row r="27" spans="2:13" x14ac:dyDescent="0.2">
      <c r="B27" s="12"/>
    </row>
    <row r="28" spans="2:13" x14ac:dyDescent="0.2">
      <c r="B28" s="79" t="s">
        <v>187</v>
      </c>
      <c r="C28" s="57">
        <v>2019</v>
      </c>
      <c r="D28" s="57">
        <v>2020</v>
      </c>
      <c r="E28" s="57">
        <v>2021</v>
      </c>
      <c r="F28" s="57">
        <v>2022</v>
      </c>
      <c r="G28" s="57">
        <v>2023</v>
      </c>
      <c r="H28" s="57" t="s">
        <v>188</v>
      </c>
    </row>
    <row r="29" spans="2:13" x14ac:dyDescent="0.2">
      <c r="B29" s="2" t="s">
        <v>178</v>
      </c>
      <c r="C29" s="26">
        <f>C14/SUM(C14:C17)</f>
        <v>7.7212806026365349E-2</v>
      </c>
      <c r="D29" s="26">
        <f>D14/SUM(D14:D17)</f>
        <v>6.3798219584569729E-2</v>
      </c>
      <c r="E29" s="26">
        <f>E14/SUM(E14:E17)</f>
        <v>6.1728395061728392E-2</v>
      </c>
      <c r="F29" s="26">
        <f>F14/SUM(F14:F17)</f>
        <v>3.6377134372680031E-2</v>
      </c>
      <c r="G29" s="26">
        <f>G14/SUM(G14:G17)</f>
        <v>3.7883736120182886E-2</v>
      </c>
      <c r="H29" s="2" t="s">
        <v>189</v>
      </c>
    </row>
    <row r="30" spans="2:13" x14ac:dyDescent="0.2">
      <c r="B30" s="2" t="s">
        <v>179</v>
      </c>
      <c r="C30" s="26">
        <f>C15/SUM(C14:C17)</f>
        <v>0.80414312617702444</v>
      </c>
      <c r="D30" s="26">
        <f>D15/SUM(D14:D17)</f>
        <v>0.82789317507418403</v>
      </c>
      <c r="E30" s="26">
        <f t="shared" ref="E30:G30" si="3">E15/SUM(E14:E17)</f>
        <v>0.83950617283950613</v>
      </c>
      <c r="F30" s="26">
        <f t="shared" si="3"/>
        <v>0.76688938381588712</v>
      </c>
      <c r="G30" s="26">
        <f t="shared" si="3"/>
        <v>0.78314826910516</v>
      </c>
      <c r="H30" s="2" t="s">
        <v>190</v>
      </c>
    </row>
    <row r="31" spans="2:13" x14ac:dyDescent="0.2">
      <c r="B31" s="2" t="s">
        <v>180</v>
      </c>
      <c r="C31" s="26">
        <f>C16/SUM(C14:C17)</f>
        <v>1.6949152542372881E-2</v>
      </c>
      <c r="D31" s="26">
        <f t="shared" ref="D31:G31" si="4">D16/SUM(D14:D17)</f>
        <v>1.483679525222552E-2</v>
      </c>
      <c r="E31" s="26">
        <f t="shared" si="4"/>
        <v>1.8518518518518517E-2</v>
      </c>
      <c r="F31" s="26">
        <f t="shared" si="4"/>
        <v>1.9302152932442463E-2</v>
      </c>
      <c r="G31" s="26">
        <f t="shared" si="4"/>
        <v>2.3514043109079032E-2</v>
      </c>
      <c r="H31" s="2" t="s">
        <v>191</v>
      </c>
    </row>
    <row r="32" spans="2:13" x14ac:dyDescent="0.2">
      <c r="B32" s="2" t="s">
        <v>181</v>
      </c>
      <c r="C32" s="26">
        <f>C17/SUM(C14:C17)</f>
        <v>0.10169491525423729</v>
      </c>
      <c r="D32" s="26">
        <f t="shared" ref="D32:G32" si="5">D17/SUM(D14:D17)</f>
        <v>9.3471810089020765E-2</v>
      </c>
      <c r="E32" s="26">
        <f t="shared" si="5"/>
        <v>8.0246913580246909E-2</v>
      </c>
      <c r="F32" s="26">
        <f t="shared" si="5"/>
        <v>0.17743132887899035</v>
      </c>
      <c r="G32" s="26">
        <f t="shared" si="5"/>
        <v>0.15545395166557804</v>
      </c>
      <c r="H32" s="2" t="s">
        <v>189</v>
      </c>
    </row>
    <row r="33" spans="2:13" ht="17" thickBot="1" x14ac:dyDescent="0.25">
      <c r="B33" s="8" t="s">
        <v>192</v>
      </c>
      <c r="C33" s="83">
        <f>SUM(C29:C32)</f>
        <v>1</v>
      </c>
      <c r="D33" s="83">
        <f>SUM(D29:D32)</f>
        <v>1</v>
      </c>
      <c r="E33" s="83">
        <f>SUM(E29:E32)</f>
        <v>1</v>
      </c>
      <c r="F33" s="83">
        <f>SUM(F29:F32)</f>
        <v>1</v>
      </c>
      <c r="G33" s="83">
        <f>SUM(G29:G32)</f>
        <v>1</v>
      </c>
    </row>
    <row r="35" spans="2:13" x14ac:dyDescent="0.2">
      <c r="B35" s="79" t="s">
        <v>193</v>
      </c>
      <c r="C35" s="57" t="s">
        <v>194</v>
      </c>
      <c r="D35" s="57" t="s">
        <v>195</v>
      </c>
      <c r="E35" s="1"/>
      <c r="F35" s="1"/>
      <c r="G35" s="1"/>
      <c r="H35" s="1"/>
      <c r="I35" s="1"/>
      <c r="J35" s="1"/>
      <c r="K35" s="1"/>
      <c r="L35" s="1"/>
      <c r="M35" s="1"/>
    </row>
    <row r="36" spans="2:13" x14ac:dyDescent="0.2">
      <c r="B36" s="2" t="s">
        <v>178</v>
      </c>
      <c r="C36" s="26">
        <f>1/D36</f>
        <v>3.6363636363636362E-2</v>
      </c>
      <c r="D36" s="2">
        <f>(20+35)/2</f>
        <v>27.5</v>
      </c>
    </row>
    <row r="37" spans="2:13" x14ac:dyDescent="0.2">
      <c r="B37" s="2" t="s">
        <v>179</v>
      </c>
      <c r="C37" s="26">
        <f>1/D37</f>
        <v>4.4444444444444446E-2</v>
      </c>
      <c r="D37" s="2">
        <f>(5+40)/2</f>
        <v>22.5</v>
      </c>
    </row>
    <row r="38" spans="2:13" x14ac:dyDescent="0.2">
      <c r="B38" s="2" t="s">
        <v>180</v>
      </c>
      <c r="C38" s="26">
        <f>1/D38</f>
        <v>0.10526315789473684</v>
      </c>
      <c r="D38" s="2">
        <f>(4+15)/2</f>
        <v>9.5</v>
      </c>
    </row>
    <row r="39" spans="2:13" x14ac:dyDescent="0.2">
      <c r="B39" s="2" t="s">
        <v>181</v>
      </c>
      <c r="C39" s="26">
        <f>1/D39</f>
        <v>3.6363636363636362E-2</v>
      </c>
      <c r="D39" s="2">
        <f>(20+35)/2</f>
        <v>27.5</v>
      </c>
    </row>
    <row r="40" spans="2:13" x14ac:dyDescent="0.2">
      <c r="C40" s="26"/>
    </row>
    <row r="41" spans="2:13" x14ac:dyDescent="0.2">
      <c r="B41" s="3" t="s">
        <v>196</v>
      </c>
      <c r="C41" s="123">
        <f>C28</f>
        <v>2019</v>
      </c>
      <c r="D41" s="123">
        <f t="shared" ref="D41:G41" si="6">D28</f>
        <v>2020</v>
      </c>
      <c r="E41" s="123">
        <f t="shared" si="6"/>
        <v>2021</v>
      </c>
      <c r="F41" s="123">
        <f t="shared" si="6"/>
        <v>2022</v>
      </c>
      <c r="G41" s="123">
        <f t="shared" si="6"/>
        <v>2023</v>
      </c>
    </row>
    <row r="42" spans="2:13" x14ac:dyDescent="0.2">
      <c r="B42" s="2" t="s">
        <v>197</v>
      </c>
      <c r="C42" s="87">
        <f>SUMPRODUCT(C29:C32,$C$36:$C$39)</f>
        <v>4.4029551136301068E-2</v>
      </c>
      <c r="D42" s="87">
        <f>SUMPRODUCT(D29:D32,$C$36:$C$39)</f>
        <v>4.4075930316754934E-2</v>
      </c>
      <c r="E42" s="87">
        <f>SUMPRODUCT(E29:E32,$C$36:$C$39)</f>
        <v>4.4423441694396854E-2</v>
      </c>
      <c r="F42" s="87">
        <f>SUMPRODUCT(F29:F32,$C$36:$C$39)</f>
        <v>4.3890631395027128E-2</v>
      </c>
      <c r="G42" s="87">
        <f>SUMPRODUCT(G29:G32,$C$36:$C$39)</f>
        <v>4.431221354456942E-2</v>
      </c>
    </row>
    <row r="43" spans="2:13" x14ac:dyDescent="0.2">
      <c r="B43" s="84" t="s">
        <v>198</v>
      </c>
      <c r="C43" s="88">
        <f>AVERAGE(C42:G42)</f>
        <v>4.4146353617409886E-2</v>
      </c>
    </row>
  </sheetData>
  <mergeCells count="1">
    <mergeCell ref="B2:G2"/>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6E8B5-5D65-904A-B4B6-4FAE166CB50D}">
  <sheetPr>
    <tabColor theme="0" tint="-0.499984740745262"/>
  </sheetPr>
  <dimension ref="B2:P59"/>
  <sheetViews>
    <sheetView zoomScale="94" workbookViewId="0"/>
  </sheetViews>
  <sheetFormatPr baseColWidth="10" defaultColWidth="10.83203125" defaultRowHeight="16" x14ac:dyDescent="0.2"/>
  <cols>
    <col min="1" max="1" width="2.83203125" style="2" customWidth="1"/>
    <col min="2" max="2" width="18" style="2" bestFit="1" customWidth="1"/>
    <col min="3" max="3" width="12" style="2" bestFit="1" customWidth="1"/>
    <col min="4" max="4" width="12.83203125" style="2" bestFit="1" customWidth="1"/>
    <col min="5" max="8" width="11" style="2" bestFit="1" customWidth="1"/>
    <col min="9" max="9" width="12.83203125" style="2" bestFit="1" customWidth="1"/>
    <col min="10" max="10" width="12" style="2" bestFit="1" customWidth="1"/>
    <col min="11" max="12" width="11" style="2" bestFit="1" customWidth="1"/>
    <col min="13" max="16384" width="10.83203125" style="2"/>
  </cols>
  <sheetData>
    <row r="2" spans="2:16" x14ac:dyDescent="0.2">
      <c r="B2" s="12" t="s">
        <v>30</v>
      </c>
      <c r="C2" s="78">
        <f>'DFCFF Valuation'!C32</f>
        <v>3</v>
      </c>
      <c r="D2" s="12"/>
    </row>
    <row r="3" spans="2:16" x14ac:dyDescent="0.2">
      <c r="B3" s="66" t="s">
        <v>199</v>
      </c>
      <c r="C3" s="67">
        <v>2018</v>
      </c>
      <c r="D3" s="67">
        <v>2019</v>
      </c>
      <c r="E3" s="67">
        <v>2020</v>
      </c>
      <c r="F3" s="67">
        <v>2021</v>
      </c>
      <c r="G3" s="67">
        <v>2022</v>
      </c>
      <c r="H3" s="67">
        <v>2023</v>
      </c>
      <c r="I3" s="168" t="s">
        <v>200</v>
      </c>
      <c r="J3" s="168" t="s">
        <v>201</v>
      </c>
      <c r="K3" s="168" t="s">
        <v>202</v>
      </c>
      <c r="L3" s="168" t="s">
        <v>203</v>
      </c>
      <c r="M3" s="169" t="s">
        <v>204</v>
      </c>
      <c r="N3" s="1"/>
    </row>
    <row r="4" spans="2:16" x14ac:dyDescent="0.2">
      <c r="B4" s="70" t="s">
        <v>9</v>
      </c>
      <c r="C4" s="2">
        <v>2460</v>
      </c>
      <c r="D4" s="2">
        <f>'Income Statement'!$C$5</f>
        <v>1841</v>
      </c>
      <c r="E4" s="2">
        <f>'Income Statement'!$D$5</f>
        <v>1517</v>
      </c>
      <c r="F4" s="2">
        <f>'Income Statement'!$E$5</f>
        <v>4123</v>
      </c>
      <c r="G4" s="2">
        <f>'Income Statement'!$F$5</f>
        <v>3463</v>
      </c>
      <c r="H4" s="2">
        <f>'Income Statement'!$G$5</f>
        <v>2917</v>
      </c>
      <c r="I4" s="2">
        <f ca="1">H4*(1+I5)</f>
        <v>2625.3</v>
      </c>
      <c r="J4" s="2">
        <f ca="1">I4*(1+J5)</f>
        <v>2756.5650000000005</v>
      </c>
      <c r="K4" s="2">
        <f ca="1">J4*(1+K5)</f>
        <v>3018.4386750000003</v>
      </c>
      <c r="L4" s="2">
        <f ca="1">K4*(1+L5)</f>
        <v>3320.2825425000005</v>
      </c>
      <c r="M4" s="71">
        <f t="shared" ref="M4" ca="1" si="0">L4*(1+M5)</f>
        <v>3585.9051459000007</v>
      </c>
      <c r="N4" s="1"/>
      <c r="P4" s="87"/>
    </row>
    <row r="5" spans="2:16" x14ac:dyDescent="0.2">
      <c r="B5" s="70" t="s">
        <v>205</v>
      </c>
      <c r="C5" s="25" t="s">
        <v>124</v>
      </c>
      <c r="D5" s="76">
        <f>(D4/C4)-1</f>
        <v>-0.25162601626016257</v>
      </c>
      <c r="E5" s="76">
        <f t="shared" ref="E5" si="1">(E4/D4)-1</f>
        <v>-0.17599130907115701</v>
      </c>
      <c r="F5" s="76">
        <f t="shared" ref="F5" si="2">(F4/E4)-1</f>
        <v>1.7178642056690836</v>
      </c>
      <c r="G5" s="76">
        <f t="shared" ref="G5" si="3">(G4/F4)-1</f>
        <v>-0.1600776133883095</v>
      </c>
      <c r="H5" s="76">
        <f t="shared" ref="H5" si="4">(H4/G4)-1</f>
        <v>-0.15766676292232173</v>
      </c>
      <c r="I5" s="163">
        <f ca="1">OFFSET(I5,$C$2,0)</f>
        <v>-0.1</v>
      </c>
      <c r="J5" s="163">
        <f ca="1">OFFSET(J5,$C$2,0)</f>
        <v>0.05</v>
      </c>
      <c r="K5" s="163">
        <f ca="1">OFFSET(K5,$C$2,0)</f>
        <v>9.5000000000000001E-2</v>
      </c>
      <c r="L5" s="163">
        <f ca="1">OFFSET(L5,$C$2,0)</f>
        <v>0.1</v>
      </c>
      <c r="M5" s="164">
        <f t="shared" ref="M5" ca="1" si="5">OFFSET(M5,$C$2,0)</f>
        <v>0.08</v>
      </c>
      <c r="N5" s="1"/>
    </row>
    <row r="6" spans="2:16" x14ac:dyDescent="0.2">
      <c r="B6" s="109" t="s">
        <v>62</v>
      </c>
      <c r="I6" s="159">
        <v>-0.2</v>
      </c>
      <c r="J6" s="159">
        <v>-0.05</v>
      </c>
      <c r="K6" s="159">
        <f>J6-($I6-$M6)/(2028-2024)</f>
        <v>-1.2499999999999997E-2</v>
      </c>
      <c r="L6" s="159">
        <f>K6-($I6-$M6)/(2028-2024)</f>
        <v>2.5000000000000008E-2</v>
      </c>
      <c r="M6" s="160">
        <v>-0.05</v>
      </c>
      <c r="N6" s="166"/>
    </row>
    <row r="7" spans="2:16" x14ac:dyDescent="0.2">
      <c r="B7" s="109" t="s">
        <v>206</v>
      </c>
      <c r="H7" s="26"/>
      <c r="I7" s="159">
        <f>AVERAGE(I13,I18)</f>
        <v>-0.18362587132899105</v>
      </c>
      <c r="J7" s="159">
        <f>AVERAGE(J13,J18)</f>
        <v>1.0851492419888698E-2</v>
      </c>
      <c r="K7" s="159">
        <f>AVERAGE(K23,K13,K18)</f>
        <v>6.9758774849060165E-2</v>
      </c>
      <c r="L7" s="159">
        <f>AVERAGE(L23,L13,L18)</f>
        <v>6.7102301752031801E-2</v>
      </c>
      <c r="M7" s="160">
        <f>AVERAGE(M23,M13,M18)</f>
        <v>5.0368719279947349E-3</v>
      </c>
      <c r="N7" s="167"/>
    </row>
    <row r="8" spans="2:16" x14ac:dyDescent="0.2">
      <c r="B8" s="110" t="s">
        <v>64</v>
      </c>
      <c r="C8" s="77"/>
      <c r="D8" s="77"/>
      <c r="E8" s="77"/>
      <c r="F8" s="77"/>
      <c r="G8" s="77"/>
      <c r="H8" s="77"/>
      <c r="I8" s="161">
        <v>-0.1</v>
      </c>
      <c r="J8" s="161">
        <v>0.05</v>
      </c>
      <c r="K8" s="161">
        <f>J8-($I8-$M8)/(2028-2024)</f>
        <v>9.5000000000000001E-2</v>
      </c>
      <c r="L8" s="161">
        <v>0.1</v>
      </c>
      <c r="M8" s="162">
        <v>0.08</v>
      </c>
      <c r="N8" s="166"/>
    </row>
    <row r="9" spans="2:16" x14ac:dyDescent="0.2">
      <c r="B9" s="20"/>
      <c r="I9" s="26"/>
      <c r="J9" s="26"/>
      <c r="K9" s="26"/>
      <c r="L9" s="26"/>
      <c r="M9" s="26"/>
      <c r="N9" s="1"/>
    </row>
    <row r="10" spans="2:16" x14ac:dyDescent="0.2">
      <c r="B10" s="12" t="s">
        <v>207</v>
      </c>
      <c r="N10" s="1"/>
    </row>
    <row r="11" spans="2:16" x14ac:dyDescent="0.2">
      <c r="B11" s="66" t="s">
        <v>199</v>
      </c>
      <c r="C11" s="67">
        <v>2018</v>
      </c>
      <c r="D11" s="67">
        <v>2019</v>
      </c>
      <c r="E11" s="67">
        <v>2020</v>
      </c>
      <c r="F11" s="67">
        <v>2021</v>
      </c>
      <c r="G11" s="67">
        <v>2022</v>
      </c>
      <c r="H11" s="67">
        <v>2023</v>
      </c>
      <c r="I11" s="68">
        <v>2024</v>
      </c>
      <c r="J11" s="68">
        <v>2025</v>
      </c>
      <c r="K11" s="68">
        <v>2026</v>
      </c>
      <c r="L11" s="68">
        <v>2027</v>
      </c>
      <c r="M11" s="69">
        <v>2028</v>
      </c>
      <c r="N11" s="1"/>
    </row>
    <row r="12" spans="2:16" x14ac:dyDescent="0.2">
      <c r="B12" s="70" t="s">
        <v>9</v>
      </c>
      <c r="C12" s="2">
        <v>2460</v>
      </c>
      <c r="D12" s="2">
        <f>'Income Statement'!$C$5</f>
        <v>1841</v>
      </c>
      <c r="E12" s="2">
        <f>'Income Statement'!$D$5</f>
        <v>1517</v>
      </c>
      <c r="F12" s="2">
        <f>'Income Statement'!$E$5</f>
        <v>4123</v>
      </c>
      <c r="G12" s="2">
        <f>'Income Statement'!$F$5</f>
        <v>3463</v>
      </c>
      <c r="H12" s="2">
        <f>'Income Statement'!$G$5</f>
        <v>2917</v>
      </c>
      <c r="I12" s="2">
        <f>AVERAGE(C12:H12)</f>
        <v>2720.1666666666665</v>
      </c>
      <c r="J12" s="2">
        <f>AVERAGE(D12:I12)</f>
        <v>2763.5277777777778</v>
      </c>
      <c r="K12" s="2">
        <f>AVERAGE(E12:J12)</f>
        <v>2917.2824074074074</v>
      </c>
      <c r="L12" s="2">
        <f>AVERAGE(F12:K12)</f>
        <v>3150.6628086419751</v>
      </c>
      <c r="M12" s="71">
        <f>AVERAGE(G12:L12)</f>
        <v>2988.6066100823045</v>
      </c>
      <c r="N12" s="1"/>
    </row>
    <row r="13" spans="2:16" x14ac:dyDescent="0.2">
      <c r="B13" s="72" t="s">
        <v>205</v>
      </c>
      <c r="C13" s="73" t="s">
        <v>124</v>
      </c>
      <c r="D13" s="74">
        <f>(D12/C12)-1</f>
        <v>-0.25162601626016257</v>
      </c>
      <c r="E13" s="74">
        <f t="shared" ref="E13" si="6">(E12/D12)-1</f>
        <v>-0.17599130907115701</v>
      </c>
      <c r="F13" s="74">
        <f t="shared" ref="F13" si="7">(F12/E12)-1</f>
        <v>1.7178642056690836</v>
      </c>
      <c r="G13" s="74">
        <f t="shared" ref="G13" si="8">(G12/F12)-1</f>
        <v>-0.1600776133883095</v>
      </c>
      <c r="H13" s="74">
        <f t="shared" ref="H13" si="9">(H12/G12)-1</f>
        <v>-0.15766676292232173</v>
      </c>
      <c r="I13" s="74">
        <f>(I12/H12)-1</f>
        <v>-6.7478002513998492E-2</v>
      </c>
      <c r="J13" s="74">
        <f t="shared" ref="J13" si="10">(J12/I12)-1</f>
        <v>1.5940608214366048E-2</v>
      </c>
      <c r="K13" s="74">
        <f t="shared" ref="K13" si="11">(K12/J12)-1</f>
        <v>5.5637084912266488E-2</v>
      </c>
      <c r="L13" s="74">
        <f>(L12/K12)-1</f>
        <v>7.9999248835827652E-2</v>
      </c>
      <c r="M13" s="75">
        <f t="shared" ref="M13" si="12">(M12/L12)-1</f>
        <v>-5.14355893988927E-2</v>
      </c>
      <c r="N13" s="1"/>
    </row>
    <row r="14" spans="2:16" x14ac:dyDescent="0.2">
      <c r="N14" s="1"/>
    </row>
    <row r="15" spans="2:16" x14ac:dyDescent="0.2">
      <c r="B15" s="12" t="s">
        <v>208</v>
      </c>
      <c r="L15" s="12"/>
      <c r="N15" s="1"/>
    </row>
    <row r="16" spans="2:16" x14ac:dyDescent="0.2">
      <c r="B16" s="66" t="s">
        <v>199</v>
      </c>
      <c r="C16" s="67">
        <v>2018</v>
      </c>
      <c r="D16" s="67">
        <v>2019</v>
      </c>
      <c r="E16" s="67">
        <v>2020</v>
      </c>
      <c r="F16" s="67">
        <v>2021</v>
      </c>
      <c r="G16" s="67">
        <v>2022</v>
      </c>
      <c r="H16" s="67">
        <v>2023</v>
      </c>
      <c r="I16" s="68">
        <v>2024</v>
      </c>
      <c r="J16" s="68">
        <v>2025</v>
      </c>
      <c r="K16" s="68">
        <v>2026</v>
      </c>
      <c r="L16" s="68">
        <v>2027</v>
      </c>
      <c r="M16" s="69">
        <v>2028</v>
      </c>
      <c r="N16" s="1"/>
    </row>
    <row r="17" spans="2:15" x14ac:dyDescent="0.2">
      <c r="B17" s="70" t="s">
        <v>9</v>
      </c>
      <c r="C17" s="2">
        <v>2460</v>
      </c>
      <c r="D17" s="2">
        <f>'Income Statement'!$C$5</f>
        <v>1841</v>
      </c>
      <c r="E17" s="2">
        <f>'Income Statement'!$D$5</f>
        <v>1517</v>
      </c>
      <c r="F17" s="2">
        <f>'Income Statement'!$E$5</f>
        <v>4123</v>
      </c>
      <c r="G17" s="2">
        <f>'Income Statement'!$F$5</f>
        <v>3463</v>
      </c>
      <c r="H17" s="2">
        <f>'Income Statement'!$G$5</f>
        <v>2917</v>
      </c>
      <c r="I17" s="2">
        <v>2042.56</v>
      </c>
      <c r="J17" s="2">
        <v>2054.33</v>
      </c>
      <c r="K17" s="2">
        <v>2225.87</v>
      </c>
      <c r="L17" s="2">
        <v>2350</v>
      </c>
      <c r="M17" s="71"/>
      <c r="N17" s="1"/>
    </row>
    <row r="18" spans="2:15" x14ac:dyDescent="0.2">
      <c r="B18" s="72" t="s">
        <v>205</v>
      </c>
      <c r="C18" s="73" t="s">
        <v>124</v>
      </c>
      <c r="D18" s="74">
        <f>(D17/C17)-1</f>
        <v>-0.25162601626016257</v>
      </c>
      <c r="E18" s="74">
        <f t="shared" ref="E18" si="13">(E17/D17)-1</f>
        <v>-0.17599130907115701</v>
      </c>
      <c r="F18" s="74">
        <f t="shared" ref="F18" si="14">(F17/E17)-1</f>
        <v>1.7178642056690836</v>
      </c>
      <c r="G18" s="74">
        <f t="shared" ref="G18" si="15">(G17/F17)-1</f>
        <v>-0.1600776133883095</v>
      </c>
      <c r="H18" s="74">
        <f>(H17/G17)-1</f>
        <v>-0.15766676292232173</v>
      </c>
      <c r="I18" s="74">
        <f>(I17/H17)-1</f>
        <v>-0.29977374014398361</v>
      </c>
      <c r="J18" s="74">
        <f>(J17/I17)-1</f>
        <v>5.7623766254113473E-3</v>
      </c>
      <c r="K18" s="74">
        <f>(K17/J17)-1</f>
        <v>8.3501676945768155E-2</v>
      </c>
      <c r="L18" s="74">
        <f>(L17/K17)-1</f>
        <v>5.576695853756064E-2</v>
      </c>
      <c r="M18" s="75"/>
      <c r="N18" s="1"/>
    </row>
    <row r="19" spans="2:15" x14ac:dyDescent="0.2">
      <c r="N19" s="1"/>
    </row>
    <row r="20" spans="2:15" x14ac:dyDescent="0.2">
      <c r="B20" s="12" t="s">
        <v>209</v>
      </c>
      <c r="C20" s="12"/>
      <c r="D20" s="12"/>
      <c r="E20" s="12"/>
      <c r="F20" s="12"/>
      <c r="G20" s="12"/>
      <c r="H20" s="12"/>
      <c r="I20" s="12"/>
      <c r="J20" s="12"/>
      <c r="K20" s="12"/>
      <c r="L20" s="12"/>
      <c r="N20" s="130"/>
    </row>
    <row r="21" spans="2:15" x14ac:dyDescent="0.2">
      <c r="B21" s="66" t="s">
        <v>199</v>
      </c>
      <c r="C21" s="67">
        <v>2018</v>
      </c>
      <c r="D21" s="67">
        <v>2019</v>
      </c>
      <c r="E21" s="67">
        <v>2020</v>
      </c>
      <c r="F21" s="67">
        <v>2021</v>
      </c>
      <c r="G21" s="67">
        <v>2022</v>
      </c>
      <c r="H21" s="67">
        <v>2023</v>
      </c>
      <c r="I21" s="68">
        <v>2024</v>
      </c>
      <c r="J21" s="68">
        <v>2025</v>
      </c>
      <c r="K21" s="68">
        <v>2026</v>
      </c>
      <c r="L21" s="68">
        <v>2027</v>
      </c>
      <c r="M21" s="69">
        <v>2028</v>
      </c>
      <c r="N21" s="1"/>
    </row>
    <row r="22" spans="2:15" x14ac:dyDescent="0.2">
      <c r="B22" s="70" t="s">
        <v>9</v>
      </c>
      <c r="C22" s="2">
        <v>2460</v>
      </c>
      <c r="D22" s="2">
        <f>'Income Statement'!$C$5</f>
        <v>1841</v>
      </c>
      <c r="E22" s="2">
        <f>'Income Statement'!$D$5</f>
        <v>1517</v>
      </c>
      <c r="F22" s="2">
        <f>'Income Statement'!$E$5</f>
        <v>4123</v>
      </c>
      <c r="G22" s="2">
        <f>'Income Statement'!$F$5</f>
        <v>3463</v>
      </c>
      <c r="H22" s="2">
        <f>'Income Statement'!$G$5</f>
        <v>2917</v>
      </c>
      <c r="I22" s="2">
        <f>$C$25+($C$26*I21)</f>
        <v>3695.8666666666977</v>
      </c>
      <c r="J22" s="2">
        <f>$C$25+($C$26*J21)</f>
        <v>3974.6380952381296</v>
      </c>
      <c r="K22" s="2">
        <f>$C$25+($C$26*K21)</f>
        <v>4253.4095238095615</v>
      </c>
      <c r="L22" s="2">
        <f>$C$25+($C$26*L21)</f>
        <v>4532.1809523809934</v>
      </c>
      <c r="M22" s="71">
        <f t="shared" ref="M22" si="16">$C$25+($C$26*M21)</f>
        <v>4810.9523809524253</v>
      </c>
      <c r="N22" s="1"/>
    </row>
    <row r="23" spans="2:15" x14ac:dyDescent="0.2">
      <c r="B23" s="72" t="s">
        <v>205</v>
      </c>
      <c r="C23" s="73" t="s">
        <v>124</v>
      </c>
      <c r="D23" s="74">
        <f>(D22/C22)-1</f>
        <v>-0.25162601626016257</v>
      </c>
      <c r="E23" s="74">
        <f t="shared" ref="E23:L23" si="17">(E22/D22)-1</f>
        <v>-0.17599130907115701</v>
      </c>
      <c r="F23" s="74">
        <f t="shared" si="17"/>
        <v>1.7178642056690836</v>
      </c>
      <c r="G23" s="74">
        <f t="shared" si="17"/>
        <v>-0.1600776133883095</v>
      </c>
      <c r="H23" s="74">
        <f t="shared" si="17"/>
        <v>-0.15766676292232173</v>
      </c>
      <c r="I23" s="74">
        <f t="shared" si="17"/>
        <v>0.26700948463033858</v>
      </c>
      <c r="J23" s="74">
        <f t="shared" si="17"/>
        <v>7.5427891131921054E-2</v>
      </c>
      <c r="K23" s="74">
        <f t="shared" si="17"/>
        <v>7.0137562689145838E-2</v>
      </c>
      <c r="L23" s="74">
        <f t="shared" si="17"/>
        <v>6.5540697882707111E-2</v>
      </c>
      <c r="M23" s="75">
        <f t="shared" ref="M23" si="18">(M22/L22)-1</f>
        <v>6.150933325488217E-2</v>
      </c>
      <c r="N23" s="1"/>
    </row>
    <row r="25" spans="2:15" x14ac:dyDescent="0.2">
      <c r="B25" s="2" t="s">
        <v>210</v>
      </c>
      <c r="C25" s="2">
        <f>INTERCEPT(C22:H22,C21:H21)</f>
        <v>-560537.50476190471</v>
      </c>
    </row>
    <row r="26" spans="2:15" x14ac:dyDescent="0.2">
      <c r="B26" s="2" t="s">
        <v>211</v>
      </c>
      <c r="C26" s="2">
        <f>SLOPE(C22:H22,C21:H21)</f>
        <v>278.77142857142854</v>
      </c>
    </row>
    <row r="27" spans="2:15" x14ac:dyDescent="0.2">
      <c r="B27" s="2" t="s">
        <v>212</v>
      </c>
      <c r="C27" s="2">
        <f>RSQ(C22:H22,C21:H21)</f>
        <v>0.28059951943806521</v>
      </c>
    </row>
    <row r="28" spans="2:15" x14ac:dyDescent="0.2">
      <c r="B28" s="2" t="s">
        <v>213</v>
      </c>
      <c r="C28" s="26">
        <f>C26/H12</f>
        <v>9.556785346980752E-2</v>
      </c>
      <c r="O28" s="132"/>
    </row>
    <row r="29" spans="2:15" x14ac:dyDescent="0.2">
      <c r="C29" s="26"/>
    </row>
    <row r="30" spans="2:15" x14ac:dyDescent="0.2">
      <c r="B30" s="78" t="s">
        <v>214</v>
      </c>
      <c r="C30" s="1"/>
      <c r="D30" s="1"/>
      <c r="E30" s="1"/>
      <c r="F30" s="1"/>
      <c r="G30" s="1"/>
      <c r="H30" s="1"/>
      <c r="I30" s="1"/>
      <c r="J30" s="1"/>
    </row>
    <row r="31" spans="2:15" ht="17" thickBot="1" x14ac:dyDescent="0.25">
      <c r="B31" s="1"/>
      <c r="C31" s="1"/>
      <c r="D31" s="1"/>
      <c r="E31" s="1"/>
      <c r="F31" s="1"/>
      <c r="G31" s="1"/>
      <c r="H31" s="1"/>
      <c r="I31" s="1"/>
      <c r="J31" s="1"/>
    </row>
    <row r="32" spans="2:15" x14ac:dyDescent="0.2">
      <c r="B32" s="27" t="s">
        <v>215</v>
      </c>
      <c r="C32" s="27"/>
      <c r="D32" s="1"/>
      <c r="E32" s="1"/>
      <c r="F32" s="1"/>
      <c r="G32" s="1"/>
      <c r="H32" s="1"/>
      <c r="I32" s="1"/>
      <c r="J32" s="1"/>
    </row>
    <row r="33" spans="2:10" x14ac:dyDescent="0.2">
      <c r="B33" s="1" t="s">
        <v>216</v>
      </c>
      <c r="C33" s="1">
        <v>0.52971645192316297</v>
      </c>
      <c r="D33" s="1"/>
      <c r="E33" s="1"/>
      <c r="F33" s="1"/>
      <c r="G33" s="1"/>
      <c r="H33" s="1"/>
      <c r="I33" s="1"/>
      <c r="J33" s="1"/>
    </row>
    <row r="34" spans="2:10" x14ac:dyDescent="0.2">
      <c r="B34" s="1" t="s">
        <v>217</v>
      </c>
      <c r="C34" s="1">
        <v>0.28059951943806499</v>
      </c>
      <c r="D34" s="1"/>
      <c r="E34" s="1"/>
      <c r="F34" s="1"/>
      <c r="G34" s="1"/>
      <c r="H34" s="1"/>
      <c r="I34" s="1"/>
      <c r="J34" s="1"/>
    </row>
    <row r="35" spans="2:10" x14ac:dyDescent="0.2">
      <c r="B35" s="1" t="s">
        <v>218</v>
      </c>
      <c r="C35" s="1">
        <v>-1.5</v>
      </c>
      <c r="D35" s="1"/>
      <c r="E35" s="1"/>
      <c r="F35" s="1"/>
      <c r="G35" s="1"/>
      <c r="H35" s="1"/>
      <c r="I35" s="1"/>
      <c r="J35" s="1"/>
    </row>
    <row r="36" spans="2:10" x14ac:dyDescent="0.2">
      <c r="B36" s="1" t="s">
        <v>219</v>
      </c>
      <c r="C36" s="1">
        <v>933.63944044899097</v>
      </c>
      <c r="D36" s="1"/>
      <c r="E36" s="1"/>
      <c r="F36" s="1"/>
      <c r="G36" s="1"/>
      <c r="H36" s="1"/>
      <c r="I36" s="1"/>
      <c r="J36" s="1"/>
    </row>
    <row r="37" spans="2:10" ht="17" thickBot="1" x14ac:dyDescent="0.25">
      <c r="B37" s="28" t="s">
        <v>220</v>
      </c>
      <c r="C37" s="28">
        <v>1</v>
      </c>
      <c r="D37" s="1"/>
      <c r="E37" s="1"/>
      <c r="F37" s="1"/>
      <c r="G37" s="1"/>
      <c r="H37" s="1"/>
      <c r="I37" s="1"/>
      <c r="J37" s="1"/>
    </row>
    <row r="38" spans="2:10" x14ac:dyDescent="0.2">
      <c r="B38" s="1"/>
      <c r="C38" s="1"/>
      <c r="D38" s="1"/>
      <c r="E38" s="1"/>
      <c r="F38" s="1"/>
      <c r="G38" s="1"/>
      <c r="H38" s="1"/>
      <c r="I38" s="1"/>
      <c r="J38" s="1"/>
    </row>
    <row r="39" spans="2:10" ht="17" thickBot="1" x14ac:dyDescent="0.25">
      <c r="B39" s="1" t="s">
        <v>221</v>
      </c>
      <c r="C39" s="1"/>
      <c r="D39" s="1"/>
      <c r="E39" s="1"/>
      <c r="F39" s="1"/>
      <c r="G39" s="1"/>
      <c r="H39" s="1"/>
      <c r="I39" s="1"/>
      <c r="J39" s="1"/>
    </row>
    <row r="40" spans="2:10" x14ac:dyDescent="0.2">
      <c r="B40" s="29"/>
      <c r="C40" s="29" t="s">
        <v>222</v>
      </c>
      <c r="D40" s="29" t="s">
        <v>223</v>
      </c>
      <c r="E40" s="29" t="s">
        <v>224</v>
      </c>
      <c r="F40" s="29" t="s">
        <v>225</v>
      </c>
      <c r="G40" s="29" t="s">
        <v>226</v>
      </c>
      <c r="H40" s="1"/>
      <c r="I40" s="1"/>
      <c r="J40" s="1"/>
    </row>
    <row r="41" spans="2:10" x14ac:dyDescent="0.2">
      <c r="B41" s="1" t="s">
        <v>227</v>
      </c>
      <c r="C41" s="1">
        <v>6</v>
      </c>
      <c r="D41" s="1">
        <v>1359986.4142857101</v>
      </c>
      <c r="E41" s="1">
        <v>226664.402380952</v>
      </c>
      <c r="F41" s="1">
        <v>1.56018533220264</v>
      </c>
      <c r="G41" s="1" t="e">
        <v>#NUM!</v>
      </c>
      <c r="H41" s="1"/>
      <c r="I41" s="1"/>
      <c r="J41" s="1"/>
    </row>
    <row r="42" spans="2:10" x14ac:dyDescent="0.2">
      <c r="B42" s="1" t="s">
        <v>228</v>
      </c>
      <c r="C42" s="1">
        <v>4</v>
      </c>
      <c r="D42" s="1">
        <v>3486730.4190476201</v>
      </c>
      <c r="E42" s="1">
        <v>871682.60476190504</v>
      </c>
      <c r="F42" s="1"/>
      <c r="G42" s="1"/>
      <c r="H42" s="1"/>
      <c r="I42" s="1"/>
      <c r="J42" s="1"/>
    </row>
    <row r="43" spans="2:10" ht="17" thickBot="1" x14ac:dyDescent="0.25">
      <c r="B43" s="28" t="s">
        <v>192</v>
      </c>
      <c r="C43" s="28">
        <v>10</v>
      </c>
      <c r="D43" s="28">
        <v>4846716.8333333302</v>
      </c>
      <c r="E43" s="28"/>
      <c r="F43" s="28"/>
      <c r="G43" s="28"/>
      <c r="H43" s="1"/>
      <c r="I43" s="1"/>
      <c r="J43" s="1"/>
    </row>
    <row r="44" spans="2:10" ht="17" thickBot="1" x14ac:dyDescent="0.25">
      <c r="B44" s="1"/>
      <c r="C44" s="1"/>
      <c r="D44" s="1"/>
      <c r="E44" s="1"/>
      <c r="F44" s="1"/>
      <c r="G44" s="1"/>
      <c r="H44" s="1"/>
      <c r="I44" s="1"/>
      <c r="J44" s="1"/>
    </row>
    <row r="45" spans="2:10" x14ac:dyDescent="0.2">
      <c r="B45" s="29"/>
      <c r="C45" s="29" t="s">
        <v>229</v>
      </c>
      <c r="D45" s="29" t="s">
        <v>219</v>
      </c>
      <c r="E45" s="29" t="s">
        <v>230</v>
      </c>
      <c r="F45" s="29" t="s">
        <v>231</v>
      </c>
      <c r="G45" s="29" t="s">
        <v>232</v>
      </c>
      <c r="H45" s="29" t="s">
        <v>233</v>
      </c>
      <c r="I45" s="29" t="s">
        <v>234</v>
      </c>
      <c r="J45" s="29" t="s">
        <v>235</v>
      </c>
    </row>
    <row r="46" spans="2:10" x14ac:dyDescent="0.2">
      <c r="B46" s="1" t="s">
        <v>210</v>
      </c>
      <c r="C46" s="1"/>
      <c r="D46" s="1"/>
      <c r="E46" s="1"/>
      <c r="F46" s="1"/>
      <c r="G46" s="1"/>
      <c r="H46" s="1"/>
      <c r="I46" s="1">
        <v>7.2911359648468703E-304</v>
      </c>
      <c r="J46" s="1">
        <v>7.2911359660718294E-304</v>
      </c>
    </row>
    <row r="47" spans="2:10" x14ac:dyDescent="0.2">
      <c r="B47" s="1" t="s">
        <v>199</v>
      </c>
      <c r="C47" s="1"/>
      <c r="D47" s="1"/>
      <c r="E47" s="1"/>
      <c r="F47" s="1"/>
      <c r="G47" s="1"/>
      <c r="H47" s="1"/>
      <c r="I47" s="1">
        <v>-1.2921572120691999E+152</v>
      </c>
      <c r="J47" s="1">
        <v>1.2921572120691999E+152</v>
      </c>
    </row>
    <row r="48" spans="2:10" x14ac:dyDescent="0.2">
      <c r="B48" s="1">
        <v>2018</v>
      </c>
      <c r="C48" s="1"/>
      <c r="D48" s="1"/>
      <c r="E48" s="1"/>
      <c r="F48" s="1"/>
      <c r="G48" s="1"/>
      <c r="H48" s="1"/>
      <c r="I48" s="1">
        <v>65535</v>
      </c>
      <c r="J48" s="1">
        <v>65535</v>
      </c>
    </row>
    <row r="49" spans="2:10" x14ac:dyDescent="0.2">
      <c r="B49" s="1">
        <v>2019</v>
      </c>
      <c r="C49" s="1"/>
      <c r="D49" s="1"/>
      <c r="E49" s="1"/>
      <c r="F49" s="1"/>
      <c r="G49" s="1"/>
      <c r="H49" s="1"/>
      <c r="I49" s="1">
        <v>0</v>
      </c>
      <c r="J49" s="1">
        <v>0</v>
      </c>
    </row>
    <row r="50" spans="2:10" x14ac:dyDescent="0.2">
      <c r="B50" s="1">
        <v>2020</v>
      </c>
      <c r="C50" s="1"/>
      <c r="D50" s="1"/>
      <c r="E50" s="1"/>
      <c r="F50" s="1"/>
      <c r="G50" s="1"/>
      <c r="H50" s="1"/>
      <c r="I50" s="1">
        <v>7.2911359558187101E-304</v>
      </c>
      <c r="J50" s="1">
        <v>7.2911359558187101E-304</v>
      </c>
    </row>
    <row r="51" spans="2:10" x14ac:dyDescent="0.2">
      <c r="B51" s="1">
        <v>2021</v>
      </c>
      <c r="C51" s="1">
        <v>-560537.50476190494</v>
      </c>
      <c r="D51" s="1">
        <v>450940.43063423701</v>
      </c>
      <c r="E51" s="1">
        <v>-1.24304113510852</v>
      </c>
      <c r="F51" s="1">
        <v>0.28173723143853402</v>
      </c>
      <c r="G51" s="1">
        <v>-1812548.8561321199</v>
      </c>
      <c r="H51" s="1">
        <v>691473.84660830698</v>
      </c>
      <c r="I51" s="1">
        <v>-1812548.8561321199</v>
      </c>
      <c r="J51" s="1">
        <v>691473.84660830698</v>
      </c>
    </row>
    <row r="52" spans="2:10" ht="17" thickBot="1" x14ac:dyDescent="0.25">
      <c r="B52" s="28">
        <v>2022</v>
      </c>
      <c r="C52" s="28">
        <v>278.771428571429</v>
      </c>
      <c r="D52" s="28">
        <v>223.18251400551799</v>
      </c>
      <c r="E52" s="28">
        <v>1.24907378973487</v>
      </c>
      <c r="F52" s="28">
        <v>0.27974441303929298</v>
      </c>
      <c r="G52" s="28">
        <v>-340.88257000492899</v>
      </c>
      <c r="H52" s="28">
        <v>898.42542714778597</v>
      </c>
      <c r="I52" s="28">
        <v>-340.88257000492899</v>
      </c>
      <c r="J52" s="28">
        <v>898.42542714778597</v>
      </c>
    </row>
    <row r="53" spans="2:10" x14ac:dyDescent="0.2">
      <c r="B53" s="1">
        <v>2023</v>
      </c>
      <c r="C53" s="1"/>
      <c r="D53" s="1"/>
      <c r="E53" s="1"/>
      <c r="F53" s="1"/>
      <c r="G53" s="1"/>
      <c r="H53" s="1"/>
      <c r="I53" s="1"/>
      <c r="J53" s="1"/>
    </row>
    <row r="54" spans="2:10" x14ac:dyDescent="0.2">
      <c r="B54" s="1"/>
      <c r="C54" s="1"/>
      <c r="D54" s="1"/>
      <c r="E54" s="1"/>
      <c r="F54" s="1"/>
      <c r="G54" s="1"/>
      <c r="H54" s="1"/>
      <c r="I54" s="1"/>
      <c r="J54" s="1"/>
    </row>
    <row r="55" spans="2:10" x14ac:dyDescent="0.2">
      <c r="B55" s="1"/>
      <c r="C55" s="1"/>
      <c r="D55" s="1"/>
      <c r="E55" s="1"/>
      <c r="F55" s="1"/>
      <c r="G55" s="1"/>
      <c r="H55" s="1"/>
      <c r="I55" s="1"/>
      <c r="J55" s="1"/>
    </row>
    <row r="56" spans="2:10" x14ac:dyDescent="0.2">
      <c r="B56" s="1" t="s">
        <v>236</v>
      </c>
      <c r="C56" s="1"/>
      <c r="D56" s="1"/>
      <c r="E56" s="1"/>
      <c r="F56" s="1"/>
      <c r="G56" s="1" t="s">
        <v>237</v>
      </c>
      <c r="H56" s="1"/>
      <c r="I56" s="1"/>
      <c r="J56" s="1"/>
    </row>
    <row r="57" spans="2:10" ht="17" thickBot="1" x14ac:dyDescent="0.25">
      <c r="B57" s="1"/>
      <c r="C57" s="1"/>
      <c r="D57" s="1"/>
      <c r="E57" s="1"/>
      <c r="F57" s="1"/>
      <c r="G57" s="1"/>
      <c r="H57" s="1"/>
      <c r="I57" s="1"/>
      <c r="J57" s="1"/>
    </row>
    <row r="58" spans="2:10" x14ac:dyDescent="0.2">
      <c r="B58" s="29" t="s">
        <v>238</v>
      </c>
      <c r="C58" s="29" t="s">
        <v>239</v>
      </c>
      <c r="D58" s="29" t="s">
        <v>240</v>
      </c>
      <c r="E58" s="29" t="s">
        <v>241</v>
      </c>
      <c r="F58" s="1"/>
      <c r="G58" s="29">
        <v>50</v>
      </c>
      <c r="H58" s="29">
        <v>2460</v>
      </c>
      <c r="I58" s="1"/>
      <c r="J58" s="1"/>
    </row>
    <row r="59" spans="2:10" ht="17" thickBot="1" x14ac:dyDescent="0.25">
      <c r="B59" s="28">
        <v>1</v>
      </c>
      <c r="C59" s="28">
        <v>9.4010775271346305E+154</v>
      </c>
      <c r="D59" s="28">
        <v>-9.4010775271346305E+154</v>
      </c>
      <c r="E59" s="28" t="e">
        <v>#VALUE!</v>
      </c>
      <c r="F59" s="1"/>
      <c r="G59" s="28" t="s">
        <v>242</v>
      </c>
      <c r="H59" s="28" t="s">
        <v>9</v>
      </c>
      <c r="I59" s="1"/>
      <c r="J59" s="1"/>
    </row>
  </sheetData>
  <sortState xmlns:xlrd2="http://schemas.microsoft.com/office/spreadsheetml/2017/richdata2" ref="G58:H59">
    <sortCondition ref="H59"/>
  </sortState>
  <pageMargins left="0.7" right="0.7" top="0.75" bottom="0.75" header="0.3" footer="0.3"/>
  <drawing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D2E0D-2E23-0C47-8F6A-710AA66155D1}">
  <sheetPr>
    <tabColor theme="0" tint="-0.499984740745262"/>
  </sheetPr>
  <dimension ref="B2:G29"/>
  <sheetViews>
    <sheetView zoomScale="117" workbookViewId="0"/>
  </sheetViews>
  <sheetFormatPr baseColWidth="10" defaultColWidth="10.83203125" defaultRowHeight="16" x14ac:dyDescent="0.2"/>
  <cols>
    <col min="1" max="1" width="2.83203125" style="1" customWidth="1"/>
    <col min="2" max="2" width="17.5" style="1" customWidth="1"/>
    <col min="3" max="5" width="10.83203125" style="1"/>
    <col min="6" max="6" width="12.6640625" style="1" bestFit="1" customWidth="1"/>
    <col min="7" max="16384" width="10.83203125" style="1"/>
  </cols>
  <sheetData>
    <row r="2" spans="2:6" x14ac:dyDescent="0.2">
      <c r="B2" s="107" t="s">
        <v>243</v>
      </c>
    </row>
    <row r="3" spans="2:6" x14ac:dyDescent="0.2">
      <c r="B3" s="107" t="s">
        <v>244</v>
      </c>
    </row>
    <row r="4" spans="2:6" x14ac:dyDescent="0.2">
      <c r="B4" s="172" t="s">
        <v>245</v>
      </c>
      <c r="C4" s="172"/>
      <c r="D4" s="172"/>
      <c r="E4" s="172"/>
      <c r="F4" s="172"/>
    </row>
    <row r="5" spans="2:6" x14ac:dyDescent="0.2">
      <c r="B5" s="1" t="s">
        <v>246</v>
      </c>
      <c r="F5" s="104" cm="1">
        <f t="array" aca="1" ref="F5" ca="1">_FV('DFCFF Valuation'!B2,"Market cap",TRUE)/1000000</f>
        <v>3654.0314520000002</v>
      </c>
    </row>
    <row r="6" spans="2:6" x14ac:dyDescent="0.2">
      <c r="B6" s="1" t="s">
        <v>247</v>
      </c>
      <c r="F6" s="105">
        <f ca="1">F5/F15</f>
        <v>0.82576395029881022</v>
      </c>
    </row>
    <row r="7" spans="2:6" x14ac:dyDescent="0.2">
      <c r="B7" s="1" t="s">
        <v>248</v>
      </c>
      <c r="F7" s="105">
        <f>F8+F9*F10</f>
        <v>0.14380000000000001</v>
      </c>
    </row>
    <row r="8" spans="2:6" x14ac:dyDescent="0.2">
      <c r="B8" s="1" t="s">
        <v>249</v>
      </c>
      <c r="F8" s="105">
        <v>3.1099999999999999E-2</v>
      </c>
    </row>
    <row r="9" spans="2:6" x14ac:dyDescent="0.2">
      <c r="B9" s="1" t="s">
        <v>250</v>
      </c>
      <c r="F9" s="151">
        <v>2.4500000000000002</v>
      </c>
    </row>
    <row r="10" spans="2:6" x14ac:dyDescent="0.2">
      <c r="B10" s="1" t="s">
        <v>251</v>
      </c>
      <c r="F10" s="105">
        <v>4.5999999999999999E-2</v>
      </c>
    </row>
    <row r="11" spans="2:6" x14ac:dyDescent="0.2">
      <c r="B11" s="1" t="s">
        <v>252</v>
      </c>
      <c r="F11" s="106">
        <v>771</v>
      </c>
    </row>
    <row r="12" spans="2:6" x14ac:dyDescent="0.2">
      <c r="B12" s="1" t="s">
        <v>253</v>
      </c>
      <c r="F12" s="105">
        <f ca="1">F11/F15</f>
        <v>0.17423604970118978</v>
      </c>
    </row>
    <row r="13" spans="2:6" x14ac:dyDescent="0.2">
      <c r="B13" s="1" t="s">
        <v>254</v>
      </c>
      <c r="F13" s="105">
        <f>-AVERAGE('WACC &amp; TV growth rate'!C24:G24)</f>
        <v>0.12515758892319656</v>
      </c>
    </row>
    <row r="14" spans="2:6" x14ac:dyDescent="0.2">
      <c r="B14" s="1" t="s">
        <v>255</v>
      </c>
      <c r="F14" s="105">
        <v>0.25</v>
      </c>
    </row>
    <row r="15" spans="2:6" x14ac:dyDescent="0.2">
      <c r="B15" s="1" t="s">
        <v>192</v>
      </c>
      <c r="F15" s="104">
        <f ca="1">F5+F11</f>
        <v>4425.0314520000002</v>
      </c>
    </row>
    <row r="16" spans="2:6" x14ac:dyDescent="0.2">
      <c r="B16" s="57" t="s">
        <v>22</v>
      </c>
      <c r="C16" s="57"/>
      <c r="D16" s="57"/>
      <c r="E16" s="57"/>
      <c r="F16" s="108">
        <f ca="1">(F6*F7)+(F12*F13*(1-F14))</f>
        <v>0.13510007896604628</v>
      </c>
    </row>
    <row r="18" spans="2:7" x14ac:dyDescent="0.2">
      <c r="B18" s="57" t="s">
        <v>256</v>
      </c>
      <c r="C18" s="57">
        <v>2019</v>
      </c>
      <c r="D18" s="57">
        <v>2020</v>
      </c>
      <c r="E18" s="57">
        <v>2021</v>
      </c>
      <c r="F18" s="57">
        <v>2022</v>
      </c>
      <c r="G18" s="57">
        <v>2023</v>
      </c>
    </row>
    <row r="19" spans="2:7" x14ac:dyDescent="0.2">
      <c r="B19" s="2" t="s">
        <v>257</v>
      </c>
      <c r="C19" s="2">
        <f>'Balance Sheet'!D32+'Balance Sheet'!D41</f>
        <v>98</v>
      </c>
      <c r="D19" s="2">
        <f>'Balance Sheet'!E32+'Balance Sheet'!E41</f>
        <v>128</v>
      </c>
      <c r="E19" s="2">
        <f>'Balance Sheet'!F32+'Balance Sheet'!F41</f>
        <v>84</v>
      </c>
      <c r="F19" s="2">
        <f>'Balance Sheet'!G32+'Balance Sheet'!G41</f>
        <v>69</v>
      </c>
      <c r="G19" s="2">
        <f>'Balance Sheet'!H32+'Balance Sheet'!H41</f>
        <v>53</v>
      </c>
    </row>
    <row r="20" spans="2:7" x14ac:dyDescent="0.2">
      <c r="B20" s="2" t="s">
        <v>128</v>
      </c>
      <c r="C20" s="2">
        <v>112</v>
      </c>
      <c r="D20" s="2">
        <v>110</v>
      </c>
      <c r="E20" s="2">
        <v>108</v>
      </c>
      <c r="F20" s="2">
        <v>106</v>
      </c>
      <c r="G20" s="2">
        <v>104</v>
      </c>
    </row>
    <row r="21" spans="2:7" x14ac:dyDescent="0.2">
      <c r="B21" s="2" t="s">
        <v>258</v>
      </c>
      <c r="C21" s="2">
        <v>47</v>
      </c>
      <c r="D21" s="2">
        <v>48</v>
      </c>
      <c r="E21" s="2">
        <v>44</v>
      </c>
      <c r="F21" s="2">
        <v>369</v>
      </c>
      <c r="G21" s="2">
        <v>364</v>
      </c>
    </row>
    <row r="22" spans="2:7" x14ac:dyDescent="0.2">
      <c r="B22" s="2" t="s">
        <v>259</v>
      </c>
      <c r="C22" s="2">
        <f>SUM(C19:C21)</f>
        <v>257</v>
      </c>
      <c r="D22" s="2">
        <f>SUM(D19:D21)</f>
        <v>286</v>
      </c>
      <c r="E22" s="2">
        <f>SUM(E19:E21)</f>
        <v>236</v>
      </c>
      <c r="F22" s="2">
        <f>SUM(F19:F21)</f>
        <v>544</v>
      </c>
      <c r="G22" s="2">
        <f>SUM(G19:G21)</f>
        <v>521</v>
      </c>
    </row>
    <row r="23" spans="2:7" x14ac:dyDescent="0.2">
      <c r="B23" s="2" t="s">
        <v>260</v>
      </c>
      <c r="C23" s="2">
        <v>-26</v>
      </c>
      <c r="D23" s="2">
        <v>-35</v>
      </c>
      <c r="E23" s="2">
        <v>-33</v>
      </c>
      <c r="F23" s="2">
        <v>-54</v>
      </c>
      <c r="G23" s="2">
        <v>-85</v>
      </c>
    </row>
    <row r="24" spans="2:7" x14ac:dyDescent="0.2">
      <c r="B24" s="6" t="s">
        <v>261</v>
      </c>
      <c r="C24" s="6">
        <f>C23/C22</f>
        <v>-0.10116731517509728</v>
      </c>
      <c r="D24" s="6">
        <f>D23/D22</f>
        <v>-0.12237762237762238</v>
      </c>
      <c r="E24" s="6">
        <f>E23/E22</f>
        <v>-0.13983050847457626</v>
      </c>
      <c r="F24" s="6">
        <f>F23/F22</f>
        <v>-9.9264705882352935E-2</v>
      </c>
      <c r="G24" s="6">
        <f>G23/G22</f>
        <v>-0.16314779270633398</v>
      </c>
    </row>
    <row r="25" spans="2:7" x14ac:dyDescent="0.2">
      <c r="B25" s="2"/>
      <c r="C25" s="2"/>
      <c r="D25" s="2"/>
      <c r="E25" s="2"/>
      <c r="F25" s="2"/>
      <c r="G25" s="2"/>
    </row>
    <row r="26" spans="2:7" x14ac:dyDescent="0.2">
      <c r="B26" s="173" t="s">
        <v>262</v>
      </c>
      <c r="C26" s="173"/>
      <c r="D26" s="173"/>
      <c r="E26" s="173"/>
      <c r="F26" s="173"/>
      <c r="G26" s="135"/>
    </row>
    <row r="27" spans="2:7" x14ac:dyDescent="0.2">
      <c r="B27" s="25" t="str">
        <f>'DFCFF Valuation'!C7</f>
        <v>2024 E</v>
      </c>
      <c r="C27" s="25" t="str">
        <f>'DFCFF Valuation'!D7</f>
        <v>2025 E</v>
      </c>
      <c r="D27" s="25" t="str">
        <f>'DFCFF Valuation'!E7</f>
        <v>2026 E</v>
      </c>
      <c r="E27" s="25" t="str">
        <f>'DFCFF Valuation'!F7</f>
        <v xml:space="preserve">2027 E </v>
      </c>
      <c r="F27" s="25" t="str">
        <f>'DFCFF Valuation'!G7</f>
        <v>2028 E</v>
      </c>
      <c r="G27" s="135"/>
    </row>
    <row r="28" spans="2:7" x14ac:dyDescent="0.2">
      <c r="B28" s="87">
        <v>1.15E-2</v>
      </c>
      <c r="C28" s="87">
        <v>2.3099999999999999E-2</v>
      </c>
      <c r="D28" s="87">
        <v>1.8599999999999998E-2</v>
      </c>
      <c r="E28" s="87">
        <v>1.6799999999999999E-2</v>
      </c>
      <c r="F28" s="87">
        <v>1.6799999999999999E-2</v>
      </c>
      <c r="G28" s="135"/>
    </row>
    <row r="29" spans="2:7" x14ac:dyDescent="0.2">
      <c r="B29" s="79" t="s">
        <v>263</v>
      </c>
      <c r="C29" s="79"/>
      <c r="D29" s="79"/>
      <c r="E29" s="79"/>
      <c r="F29" s="126">
        <f>AVERAGE(B28:F28)</f>
        <v>1.7359999999999997E-2</v>
      </c>
      <c r="G29" s="132"/>
    </row>
  </sheetData>
  <mergeCells count="2">
    <mergeCell ref="B4:F4"/>
    <mergeCell ref="B26:F26"/>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F1EA6-B0BC-2142-8B75-60E5591BCCD3}">
  <sheetPr>
    <tabColor theme="0" tint="-0.499984740745262"/>
  </sheetPr>
  <dimension ref="B2:R17"/>
  <sheetViews>
    <sheetView zoomScale="125" workbookViewId="0"/>
  </sheetViews>
  <sheetFormatPr baseColWidth="10" defaultColWidth="9" defaultRowHeight="16" x14ac:dyDescent="0.2"/>
  <cols>
    <col min="1" max="2" width="2.83203125" style="1" customWidth="1"/>
    <col min="3" max="3" width="23" style="1" customWidth="1"/>
    <col min="4" max="16384" width="9" style="1"/>
  </cols>
  <sheetData>
    <row r="2" spans="2:18" x14ac:dyDescent="0.2">
      <c r="C2" s="78" t="s">
        <v>264</v>
      </c>
    </row>
    <row r="3" spans="2:18" ht="15.75" customHeight="1" x14ac:dyDescent="0.2">
      <c r="B3" s="1">
        <v>1</v>
      </c>
      <c r="C3" s="174" t="s">
        <v>265</v>
      </c>
      <c r="D3" s="174"/>
      <c r="E3" s="174"/>
      <c r="F3" s="174"/>
      <c r="G3" s="174"/>
      <c r="H3" s="174"/>
      <c r="I3" s="174"/>
      <c r="J3" s="174"/>
      <c r="K3" s="174"/>
      <c r="L3" s="174"/>
      <c r="M3" s="174"/>
      <c r="N3" s="174"/>
      <c r="O3" s="174"/>
      <c r="P3" s="174"/>
      <c r="Q3" s="174"/>
      <c r="R3" s="174"/>
    </row>
    <row r="4" spans="2:18" ht="15.75" customHeight="1" x14ac:dyDescent="0.2">
      <c r="C4" s="174"/>
      <c r="D4" s="174"/>
      <c r="E4" s="174"/>
      <c r="F4" s="174"/>
      <c r="G4" s="174"/>
      <c r="H4" s="174"/>
      <c r="I4" s="174"/>
      <c r="J4" s="174"/>
      <c r="K4" s="174"/>
      <c r="L4" s="174"/>
      <c r="M4" s="174"/>
      <c r="N4" s="174"/>
      <c r="O4" s="174"/>
      <c r="P4" s="174"/>
      <c r="Q4" s="174"/>
      <c r="R4" s="174"/>
    </row>
    <row r="5" spans="2:18" ht="15.75" customHeight="1" x14ac:dyDescent="0.2">
      <c r="C5" s="174"/>
      <c r="D5" s="174"/>
      <c r="E5" s="174"/>
      <c r="F5" s="174"/>
      <c r="G5" s="174"/>
      <c r="H5" s="174"/>
      <c r="I5" s="174"/>
      <c r="J5" s="174"/>
      <c r="K5" s="174"/>
      <c r="L5" s="174"/>
      <c r="M5" s="174"/>
      <c r="N5" s="174"/>
      <c r="O5" s="174"/>
      <c r="P5" s="174"/>
      <c r="Q5" s="174"/>
      <c r="R5" s="174"/>
    </row>
    <row r="6" spans="2:18" x14ac:dyDescent="0.2">
      <c r="B6" s="1">
        <v>2</v>
      </c>
      <c r="C6" s="1" t="s">
        <v>266</v>
      </c>
    </row>
    <row r="7" spans="2:18" x14ac:dyDescent="0.2">
      <c r="B7" s="1">
        <v>3</v>
      </c>
      <c r="C7" s="1" t="s">
        <v>267</v>
      </c>
    </row>
    <row r="8" spans="2:18" x14ac:dyDescent="0.2">
      <c r="B8" s="1">
        <v>4</v>
      </c>
      <c r="C8" s="175" t="s">
        <v>268</v>
      </c>
      <c r="D8" s="175"/>
      <c r="E8" s="175"/>
      <c r="F8" s="175"/>
      <c r="G8" s="175"/>
      <c r="H8" s="175"/>
      <c r="I8" s="175"/>
      <c r="J8" s="175"/>
      <c r="K8" s="175"/>
      <c r="L8" s="175"/>
      <c r="M8" s="175"/>
      <c r="N8" s="175"/>
      <c r="O8" s="175"/>
      <c r="P8" s="175"/>
      <c r="Q8" s="175"/>
      <c r="R8" s="175"/>
    </row>
    <row r="9" spans="2:18" x14ac:dyDescent="0.2">
      <c r="C9" s="175"/>
      <c r="D9" s="175"/>
      <c r="E9" s="175"/>
      <c r="F9" s="175"/>
      <c r="G9" s="175"/>
      <c r="H9" s="175"/>
      <c r="I9" s="175"/>
      <c r="J9" s="175"/>
      <c r="K9" s="175"/>
      <c r="L9" s="175"/>
      <c r="M9" s="175"/>
      <c r="N9" s="175"/>
      <c r="O9" s="175"/>
      <c r="P9" s="175"/>
      <c r="Q9" s="175"/>
      <c r="R9" s="175"/>
    </row>
    <row r="10" spans="2:18" ht="15.75" customHeight="1" x14ac:dyDescent="0.2">
      <c r="B10" s="1">
        <v>5</v>
      </c>
      <c r="C10" s="174" t="s">
        <v>269</v>
      </c>
      <c r="D10" s="174"/>
      <c r="E10" s="174"/>
      <c r="F10" s="174"/>
      <c r="G10" s="174"/>
      <c r="H10" s="174"/>
      <c r="I10" s="174"/>
      <c r="J10" s="174"/>
      <c r="K10" s="174"/>
      <c r="L10" s="174"/>
      <c r="M10" s="174"/>
      <c r="N10" s="174"/>
      <c r="O10" s="174"/>
    </row>
    <row r="11" spans="2:18" ht="15.75" customHeight="1" x14ac:dyDescent="0.2">
      <c r="C11" s="174"/>
      <c r="D11" s="174"/>
      <c r="E11" s="174"/>
      <c r="F11" s="174"/>
      <c r="G11" s="174"/>
      <c r="H11" s="174"/>
      <c r="I11" s="174"/>
      <c r="J11" s="174"/>
      <c r="K11" s="174"/>
      <c r="L11" s="174"/>
      <c r="M11" s="174"/>
      <c r="N11" s="174"/>
      <c r="O11" s="174"/>
    </row>
    <row r="12" spans="2:18" x14ac:dyDescent="0.2">
      <c r="C12" s="170"/>
      <c r="D12" s="170"/>
      <c r="E12" s="170"/>
      <c r="F12" s="170"/>
      <c r="G12" s="170"/>
      <c r="H12" s="170"/>
      <c r="I12" s="170"/>
      <c r="J12" s="170"/>
      <c r="K12" s="170"/>
      <c r="L12" s="170"/>
      <c r="M12" s="170"/>
      <c r="N12" s="170"/>
      <c r="O12" s="170"/>
    </row>
    <row r="13" spans="2:18" x14ac:dyDescent="0.2">
      <c r="C13" s="78" t="s">
        <v>270</v>
      </c>
    </row>
    <row r="14" spans="2:18" ht="15.75" customHeight="1" x14ac:dyDescent="0.2">
      <c r="B14" s="1">
        <v>1</v>
      </c>
      <c r="C14" s="174" t="s">
        <v>271</v>
      </c>
      <c r="D14" s="174"/>
      <c r="E14" s="174"/>
      <c r="F14" s="174"/>
      <c r="G14" s="174"/>
      <c r="H14" s="174"/>
      <c r="I14" s="174"/>
      <c r="J14" s="174"/>
      <c r="K14" s="174"/>
      <c r="L14" s="174"/>
      <c r="M14" s="174"/>
      <c r="N14" s="174"/>
      <c r="O14" s="174"/>
      <c r="P14" s="174"/>
      <c r="Q14" s="174"/>
      <c r="R14" s="134"/>
    </row>
    <row r="15" spans="2:18" ht="15.75" customHeight="1" x14ac:dyDescent="0.2">
      <c r="C15" s="174"/>
      <c r="D15" s="174"/>
      <c r="E15" s="174"/>
      <c r="F15" s="174"/>
      <c r="G15" s="174"/>
      <c r="H15" s="174"/>
      <c r="I15" s="174"/>
      <c r="J15" s="174"/>
      <c r="K15" s="174"/>
      <c r="L15" s="174"/>
      <c r="M15" s="174"/>
      <c r="N15" s="174"/>
      <c r="O15" s="174"/>
      <c r="P15" s="174"/>
      <c r="Q15" s="174"/>
      <c r="R15" s="134"/>
    </row>
    <row r="16" spans="2:18" x14ac:dyDescent="0.2">
      <c r="B16" s="1">
        <v>2</v>
      </c>
      <c r="C16" s="1" t="s">
        <v>272</v>
      </c>
      <c r="D16" s="134"/>
      <c r="E16" s="134"/>
      <c r="F16" s="134"/>
      <c r="G16" s="134"/>
      <c r="H16" s="134"/>
      <c r="I16" s="134"/>
      <c r="J16" s="134"/>
      <c r="K16" s="134"/>
      <c r="L16" s="134"/>
      <c r="M16" s="134"/>
      <c r="N16" s="134"/>
      <c r="O16" s="134"/>
      <c r="P16" s="134"/>
      <c r="Q16" s="134"/>
      <c r="R16" s="134"/>
    </row>
    <row r="17" spans="2:18" x14ac:dyDescent="0.2">
      <c r="B17" s="1">
        <v>3</v>
      </c>
      <c r="C17" s="1" t="s">
        <v>273</v>
      </c>
      <c r="D17" s="134"/>
      <c r="E17" s="134"/>
      <c r="F17" s="134"/>
      <c r="G17" s="134"/>
      <c r="H17" s="134"/>
      <c r="I17" s="134"/>
      <c r="J17" s="134"/>
      <c r="K17" s="134"/>
      <c r="L17" s="134"/>
      <c r="M17" s="134"/>
      <c r="N17" s="134"/>
      <c r="O17" s="134"/>
      <c r="P17" s="134"/>
      <c r="Q17" s="134"/>
      <c r="R17" s="134"/>
    </row>
  </sheetData>
  <mergeCells count="4">
    <mergeCell ref="C3:R5"/>
    <mergeCell ref="C10:O11"/>
    <mergeCell ref="C14:Q15"/>
    <mergeCell ref="C8:R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DFCFF Valuation</vt:lpstr>
      <vt:lpstr>Income Statement</vt:lpstr>
      <vt:lpstr>Balance Sheet</vt:lpstr>
      <vt:lpstr>Fixed Assets</vt:lpstr>
      <vt:lpstr>Revenue</vt:lpstr>
      <vt:lpstr>WACC &amp; TV growth rate</vt:lpstr>
      <vt:lpstr>Strengths &amp; Weaknesses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Fatehbir Singh Sohu</dc:creator>
  <cp:keywords/>
  <dc:description/>
  <cp:lastModifiedBy>Fatehbir Singh Sohu</cp:lastModifiedBy>
  <cp:revision/>
  <dcterms:created xsi:type="dcterms:W3CDTF">2024-07-22T04:44:42Z</dcterms:created>
  <dcterms:modified xsi:type="dcterms:W3CDTF">2025-03-10T02:16:51Z</dcterms:modified>
  <cp:category/>
  <cp:contentStatus/>
</cp:coreProperties>
</file>